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rnurgaliev\Documents\"/>
    </mc:Choice>
  </mc:AlternateContent>
  <xr:revisionPtr revIDLastSave="0" documentId="8_{7315B03B-7BE7-4015-977C-AA9863927901}" xr6:coauthVersionLast="36" xr6:coauthVersionMax="36" xr10:uidLastSave="{00000000-0000-0000-0000-000000000000}"/>
  <bookViews>
    <workbookView xWindow="0" yWindow="0" windowWidth="47325" windowHeight="15345" xr2:uid="{00000000-000D-0000-FFFF-FFFF00000000}"/>
  </bookViews>
  <sheets>
    <sheet name="Гибрид" sheetId="2" r:id="rId1"/>
  </sheets>
  <calcPr calcId="191029"/>
</workbook>
</file>

<file path=xl/calcChain.xml><?xml version="1.0" encoding="utf-8"?>
<calcChain xmlns="http://schemas.openxmlformats.org/spreadsheetml/2006/main">
  <c r="F59" i="2" l="1"/>
  <c r="C61" i="2" l="1"/>
  <c r="L54" i="2"/>
  <c r="L53" i="2"/>
  <c r="C52" i="2"/>
  <c r="C50" i="2"/>
  <c r="M60" i="2"/>
  <c r="L61" i="2"/>
  <c r="L58" i="2"/>
  <c r="C58" i="2"/>
  <c r="L57" i="2"/>
  <c r="C57" i="2"/>
  <c r="L56" i="2"/>
  <c r="N55" i="2"/>
  <c r="L52" i="2"/>
  <c r="L50" i="2"/>
  <c r="L48" i="2"/>
  <c r="M48" i="2" s="1"/>
  <c r="C48" i="2"/>
  <c r="D48" i="2" s="1"/>
  <c r="O55" i="2" l="1"/>
  <c r="P55" i="2" s="1"/>
  <c r="D58" i="2"/>
  <c r="D57" i="2"/>
  <c r="C30" i="2"/>
  <c r="C31" i="2"/>
  <c r="C32" i="2"/>
  <c r="C33" i="2"/>
  <c r="C29" i="2"/>
  <c r="C60" i="2" l="1"/>
  <c r="D60" i="2" s="1"/>
  <c r="H60" i="2" s="1"/>
  <c r="C62" i="2"/>
  <c r="F60" i="2" l="1"/>
  <c r="J60" i="2" s="1"/>
  <c r="E60" i="2"/>
  <c r="I60" i="2" s="1"/>
  <c r="C51" i="2"/>
  <c r="D51" i="2" s="1"/>
  <c r="C55" i="2" l="1"/>
  <c r="D55" i="2" s="1"/>
  <c r="D52" i="2"/>
  <c r="J62" i="2" l="1"/>
  <c r="C59" i="2"/>
  <c r="I59" i="2" l="1"/>
  <c r="G59" i="2"/>
  <c r="I62" i="2"/>
  <c r="H62" i="2"/>
  <c r="M58" i="2"/>
  <c r="P58" i="2" s="1"/>
  <c r="M56" i="2" l="1"/>
  <c r="P56" i="2" s="1"/>
  <c r="C56" i="2" s="1"/>
  <c r="D56" i="2" s="1"/>
  <c r="M57" i="2"/>
  <c r="M61" i="2"/>
  <c r="P61" i="2" s="1"/>
  <c r="P48" i="2"/>
  <c r="J59" i="2"/>
  <c r="H59" i="2"/>
  <c r="P57" i="2" l="1"/>
  <c r="H61" i="2"/>
  <c r="I61" i="2"/>
  <c r="J61" i="2"/>
  <c r="E57" i="2" l="1"/>
  <c r="I57" i="2" s="1"/>
  <c r="J56" i="2"/>
  <c r="E56" i="2"/>
  <c r="I56" i="2" s="1"/>
  <c r="B34" i="2"/>
  <c r="F33" i="2"/>
  <c r="I31" i="2"/>
  <c r="I30" i="2"/>
  <c r="N51" i="2"/>
  <c r="O51" i="2" s="1"/>
  <c r="M50" i="2"/>
  <c r="I32" i="2" l="1"/>
  <c r="F32" i="2"/>
  <c r="H56" i="2"/>
  <c r="J57" i="2"/>
  <c r="H57" i="2"/>
  <c r="M53" i="2"/>
  <c r="P53" i="2" s="1"/>
  <c r="C53" i="2" s="1"/>
  <c r="D53" i="2" s="1"/>
  <c r="M54" i="2"/>
  <c r="P54" i="2" s="1"/>
  <c r="C54" i="2" s="1"/>
  <c r="D54" i="2" s="1"/>
  <c r="P50" i="2"/>
  <c r="G50" i="2"/>
  <c r="I33" i="2"/>
  <c r="G34" i="2"/>
  <c r="F31" i="2"/>
  <c r="H34" i="2"/>
  <c r="C34" i="2"/>
  <c r="F29" i="2"/>
  <c r="I29" i="2"/>
  <c r="F30" i="2"/>
  <c r="M52" i="2"/>
  <c r="P52" i="2" s="1"/>
  <c r="E48" i="2" l="1"/>
  <c r="I48" i="2" s="1"/>
  <c r="J54" i="2"/>
  <c r="J53" i="2"/>
  <c r="J48" i="2"/>
  <c r="J55" i="2"/>
  <c r="E55" i="2"/>
  <c r="I55" i="2" s="1"/>
  <c r="J34" i="2"/>
  <c r="L51" i="2" s="1"/>
  <c r="E54" i="2"/>
  <c r="I54" i="2" s="1"/>
  <c r="E53" i="2"/>
  <c r="I53" i="2" s="1"/>
  <c r="F34" i="2"/>
  <c r="I34" i="2"/>
  <c r="D50" i="2" l="1"/>
  <c r="E50" i="2" s="1"/>
  <c r="I50" i="2" s="1"/>
  <c r="J50" i="2"/>
  <c r="M51" i="2"/>
  <c r="P51" i="2" s="1"/>
  <c r="L49" i="2"/>
  <c r="H55" i="2"/>
  <c r="H54" i="2"/>
  <c r="H53" i="2"/>
  <c r="H48" i="2"/>
  <c r="J52" i="2"/>
  <c r="E52" i="2"/>
  <c r="I52" i="2" s="1"/>
  <c r="H50" i="2" l="1"/>
  <c r="J51" i="2"/>
  <c r="M49" i="2"/>
  <c r="P49" i="2" s="1"/>
  <c r="C49" i="2" s="1"/>
  <c r="H52" i="2"/>
  <c r="D49" i="2" l="1"/>
  <c r="E51" i="2"/>
  <c r="I51" i="2" s="1"/>
  <c r="E49" i="2" l="1"/>
  <c r="I49" i="2" s="1"/>
  <c r="J49" i="2"/>
  <c r="H49" i="2"/>
  <c r="H51" i="2"/>
  <c r="C64" i="2"/>
  <c r="E58" i="2"/>
  <c r="I58" i="2"/>
  <c r="J58" i="2"/>
  <c r="H58" i="2"/>
  <c r="J64" i="2" l="1"/>
  <c r="I64" i="2"/>
  <c r="H64" i="2"/>
</calcChain>
</file>

<file path=xl/sharedStrings.xml><?xml version="1.0" encoding="utf-8"?>
<sst xmlns="http://schemas.openxmlformats.org/spreadsheetml/2006/main" count="113" uniqueCount="97">
  <si>
    <t>Зеленым отмечены поля для заполнения</t>
  </si>
  <si>
    <t xml:space="preserve">Загруженных пользователями на портал новых видеозаписей в сутки (в часах) </t>
  </si>
  <si>
    <t>Виды конференций и распределение</t>
  </si>
  <si>
    <t>Профиль конференции</t>
  </si>
  <si>
    <t>Процент пользователей в конференции данного типа</t>
  </si>
  <si>
    <t>Пользователей</t>
  </si>
  <si>
    <t>Размер конференции (среднее кол-во одновременных участников)</t>
  </si>
  <si>
    <t>Микрофонов всего</t>
  </si>
  <si>
    <t>Кол-во конференций</t>
  </si>
  <si>
    <t>тип1 (2 польз)</t>
  </si>
  <si>
    <t>тип2 (3-5 польз)</t>
  </si>
  <si>
    <t>тип3 (6-10 польз)</t>
  </si>
  <si>
    <t>тип4 (10-30 польз)</t>
  </si>
  <si>
    <t>тип 5 (30+ польз)</t>
  </si>
  <si>
    <t>total</t>
  </si>
  <si>
    <t>/дата/</t>
  </si>
  <si>
    <t>• Учитываются требования ПО DION + самой ОС на каждой из VM</t>
  </si>
  <si>
    <t>vCPU</t>
  </si>
  <si>
    <t>RAM (GB)</t>
  </si>
  <si>
    <t>disk (GB)</t>
  </si>
  <si>
    <t>bandwidth per instance (Mbit/sec)</t>
  </si>
  <si>
    <t>суммарно vCPU</t>
  </si>
  <si>
    <t>суммарно RAM</t>
  </si>
  <si>
    <t>суммарно disk</t>
  </si>
  <si>
    <t>приложения</t>
  </si>
  <si>
    <t>MEDIA</t>
  </si>
  <si>
    <t xml:space="preserve">100 активностей 1 vCPU </t>
  </si>
  <si>
    <t>SIP SERVER</t>
  </si>
  <si>
    <t>1 vCPU на 6 вызовов</t>
  </si>
  <si>
    <t>SIP TRANSLATOR</t>
  </si>
  <si>
    <t>1,5 vCPU на 1 вызов</t>
  </si>
  <si>
    <t>SIP TRANSCODER</t>
  </si>
  <si>
    <t>TURN</t>
  </si>
  <si>
    <t>RECORD</t>
  </si>
  <si>
    <t>Итого</t>
  </si>
  <si>
    <t>• Учитывается пиковая утилизация всех VM приложений , потеря 1 прикладной VM  приведет к пропорциональной деградации соответствующего сервиса</t>
  </si>
  <si>
    <t>кол-во</t>
  </si>
  <si>
    <t>Требуемая нагрузка (в условных единицах - могут быть пользователи, кол-во звонков или записей и т.д.)</t>
  </si>
  <si>
    <t>Минимально необходимое количество vCPU, чтобы выдержать требуемую нагрузку</t>
  </si>
  <si>
    <t>Как рассчитывается кол-во ядер</t>
  </si>
  <si>
    <t>1 vCPU на 2 вызова</t>
  </si>
  <si>
    <t>Минимально необходимое количество vCPU для обработки записей и видео</t>
  </si>
  <si>
    <t>Требуемая нагрузка для обработки видео</t>
  </si>
  <si>
    <t>2 vCPU на одну запись конференции.
Запись длиной 1 час занимает 1 Гб на диске.
Для обработки 6 часовых записей в сутки требуется 1 дополнительный vCPU.</t>
  </si>
  <si>
    <t>Не уменьшайте размер диска.</t>
  </si>
  <si>
    <t>Профиль конференции задается средним количеством пользователей в конференции, процентом включенных микрофонов, камер, демонстраций экрана, активных записей. Можно изменить набор типов.
Значения по умолчанию взяты из статистики по облаку.</t>
  </si>
  <si>
    <t xml:space="preserve">• Калькулятор считает минимальные требования без избыточности! Для отказоустойчивости необходимо иметь минимум 2 активные копии каждой VM. </t>
  </si>
  <si>
    <t>SIP</t>
  </si>
  <si>
    <t>Процент пользователей с включенными камерами %</t>
  </si>
  <si>
    <t>Пользователей с включенными микрофонами в конференции в среднем (шт)</t>
  </si>
  <si>
    <t>Процент конференций, где ведется демонстрация экрана %</t>
  </si>
  <si>
    <t>Процент конференций с записью %</t>
  </si>
  <si>
    <t>Минимально необходимое количество vCPU без учета зарезервированных vCPU</t>
  </si>
  <si>
    <t>Какие сервисы планируется использовать в гибриде? Проставьте 1 (используются) или 0 (не используются)</t>
  </si>
  <si>
    <t>Конференции</t>
  </si>
  <si>
    <t>Запись конференций</t>
  </si>
  <si>
    <t>Видеопортал</t>
  </si>
  <si>
    <t>Функционал гибрида</t>
  </si>
  <si>
    <t>Используется?</t>
  </si>
  <si>
    <t xml:space="preserve">Пользователей, одновременно подключающихся к конференциям извне </t>
  </si>
  <si>
    <t>Глубина хранения  видеозаписей, записей конференций (в днях) на S3</t>
  </si>
  <si>
    <t>Стенд Гибрида, рассчитанный исходя из:</t>
  </si>
  <si>
    <t>Календарь</t>
  </si>
  <si>
    <t>Заполнение красных полей не требуется</t>
  </si>
  <si>
    <t>HLS Converter</t>
  </si>
  <si>
    <t>DMZ Video Proxy</t>
  </si>
  <si>
    <t>API Video Gateway + Upload Companion + DLP Adapter</t>
  </si>
  <si>
    <t>DION Proxy</t>
  </si>
  <si>
    <t>S3 minio</t>
  </si>
  <si>
    <t>Для обработки 6 загруженных на портал записей длиной час за сутки требуется 1 дополнительный vCPU</t>
  </si>
  <si>
    <t>HLS Delivery в режиме redirect</t>
  </si>
  <si>
    <t xml:space="preserve">1 vCPU на 1000 пользователей.
Количество одновременных скачиваний зависит от пропускной способности от пользователей до хранилища S3. Для воспроизведения одним пользователем видео в качестве 1080p необходимо 6 Мбит/сек. </t>
  </si>
  <si>
    <t xml:space="preserve"> </t>
  </si>
  <si>
    <t xml:space="preserve">1 vCPU на 1000 пользователей </t>
  </si>
  <si>
    <t xml:space="preserve">1 vCPU на 500 пользователей </t>
  </si>
  <si>
    <t>Если калькулятор (столбец C, строки 36-46) рекомендует 1 копию VM, можно разделить ее рекомендованные ресурсы (столбец D и E) на 2 машины поровну и развернуть 2 VM поменьше вместо одной большой для отказоустойчивости.</t>
  </si>
  <si>
    <t>Без переподписки!</t>
  </si>
  <si>
    <t>EWS-Connector</t>
  </si>
  <si>
    <t>1 шт на 2000 пользователей</t>
  </si>
  <si>
    <t>KMS</t>
  </si>
  <si>
    <t>Если известно максимальное количество одновременно ведущихся записей конференций в пике, можно указать это значение вручную ячейке J23. Это значение влияет на масштабирование сервисов записей для поддержки нагрузки в пике. По умолчанию 3 одновременные записи считается минимальным значением.
Исходная формула в ячейке =ОКРУГЛВВЕРХ(I7*J7/100+I8*J8/100+I9*J9/100+I10*J10/100+I11*J11/100;0)</t>
  </si>
  <si>
    <t>Аналогичным образом можно увеличивать количество виртуальных машин вручную. Главное, чтобы суммарный объем vCPU и памяти оставался неизменным. VM не может быть меньше 2 vCPU, 4 Gb RAM.</t>
  </si>
  <si>
    <t>Минимально допустимый размер VM: 2 vCPU, 4 Gb RAM.</t>
  </si>
  <si>
    <t>Общее количество зарегистрированных пользователей</t>
  </si>
  <si>
    <t>1 vCPU на 100 пользователей</t>
  </si>
  <si>
    <t xml:space="preserve">Калькулятор обновлен: 17.07.25	</t>
  </si>
  <si>
    <t>Чаты</t>
  </si>
  <si>
    <t>Чаты (крипто-провайдер)</t>
  </si>
  <si>
    <t xml:space="preserve">2 vCPU на 1000 пользователей </t>
  </si>
  <si>
    <t>Участников конференций в пике</t>
  </si>
  <si>
    <t>Для примерной оценки можно взять значение ячейки J22 и умножить его на 6 или 8 (6 или 8 рабочих часов с пиковой нагрузкой по записям)</t>
  </si>
  <si>
    <t>Конфеернции</t>
  </si>
  <si>
    <t>Запись конференций и хранения записей</t>
  </si>
  <si>
    <t>Количество одновременных SIP подключений</t>
  </si>
  <si>
    <t>Количество пользователей одновременно смотрят видео на портале DION Video</t>
  </si>
  <si>
    <t>ЗАПОЛНИТЕ ЗЕЛЕНЫЕ ПОЛЯ В ТАБЛИЦЕ НИЖЕ</t>
  </si>
  <si>
    <t>Записей конференций в сутки (в часах)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</si>
</sst>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scheme val="minor"/>
    </font>
    <font>
      <sz val="12"/>
      <color rgb="FF9C57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9C000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auto="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/>
      <top style="thin">
        <color rgb="FF757171"/>
      </top>
      <bottom style="thin">
        <color rgb="FF75717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13" fillId="9" borderId="0" applyNumberFormat="0" applyBorder="0" applyAlignment="0" applyProtection="0"/>
    <xf numFmtId="0" fontId="16" fillId="0" borderId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</cellStyleXfs>
  <cellXfs count="95">
    <xf numFmtId="0" fontId="0" fillId="0" borderId="0" xfId="0"/>
    <xf numFmtId="1" fontId="1" fillId="3" borderId="2" xfId="2" applyNumberFormat="1" applyBorder="1"/>
    <xf numFmtId="0" fontId="6" fillId="2" borderId="9" xfId="1" applyFont="1" applyBorder="1"/>
    <xf numFmtId="1" fontId="6" fillId="2" borderId="10" xfId="1" applyNumberFormat="1" applyFont="1" applyBorder="1"/>
    <xf numFmtId="0" fontId="6" fillId="2" borderId="11" xfId="1" applyFont="1" applyBorder="1"/>
    <xf numFmtId="1" fontId="8" fillId="2" borderId="9" xfId="1" applyNumberFormat="1" applyFont="1" applyBorder="1"/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9" fillId="0" borderId="7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2" xfId="0" applyFont="1" applyBorder="1"/>
    <xf numFmtId="0" fontId="5" fillId="0" borderId="2" xfId="0" applyFont="1" applyBorder="1"/>
    <xf numFmtId="0" fontId="11" fillId="0" borderId="13" xfId="0" applyFont="1" applyBorder="1"/>
    <xf numFmtId="1" fontId="1" fillId="3" borderId="13" xfId="0" applyNumberFormat="1" applyFont="1" applyFill="1" applyBorder="1"/>
    <xf numFmtId="1" fontId="11" fillId="0" borderId="13" xfId="0" applyNumberFormat="1" applyFont="1" applyBorder="1"/>
    <xf numFmtId="1" fontId="11" fillId="0" borderId="21" xfId="0" applyNumberFormat="1" applyFont="1" applyBorder="1"/>
    <xf numFmtId="0" fontId="11" fillId="0" borderId="21" xfId="0" applyFont="1" applyBorder="1"/>
    <xf numFmtId="1" fontId="2" fillId="4" borderId="22" xfId="0" applyNumberFormat="1" applyFont="1" applyFill="1" applyBorder="1"/>
    <xf numFmtId="0" fontId="3" fillId="5" borderId="2" xfId="4" applyBorder="1"/>
    <xf numFmtId="0" fontId="3" fillId="5" borderId="0" xfId="4"/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1" fontId="3" fillId="5" borderId="2" xfId="4" applyNumberForma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1" fontId="3" fillId="5" borderId="2" xfId="4" applyNumberForma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" fontId="7" fillId="2" borderId="2" xfId="1" applyNumberFormat="1" applyBorder="1"/>
    <xf numFmtId="0" fontId="1" fillId="3" borderId="0" xfId="2" applyAlignment="1">
      <alignment horizontal="left"/>
    </xf>
    <xf numFmtId="0" fontId="1" fillId="3" borderId="0" xfId="2"/>
    <xf numFmtId="0" fontId="7" fillId="0" borderId="5" xfId="0" applyFont="1" applyBorder="1" applyAlignment="1">
      <alignment wrapText="1"/>
    </xf>
    <xf numFmtId="0" fontId="1" fillId="3" borderId="2" xfId="2" applyBorder="1" applyAlignment="1">
      <alignment wrapText="1"/>
    </xf>
    <xf numFmtId="0" fontId="7" fillId="0" borderId="8" xfId="0" applyFont="1" applyBorder="1"/>
    <xf numFmtId="0" fontId="7" fillId="6" borderId="2" xfId="0" applyFont="1" applyFill="1" applyBorder="1"/>
    <xf numFmtId="1" fontId="7" fillId="0" borderId="2" xfId="0" applyNumberFormat="1" applyFont="1" applyBorder="1"/>
    <xf numFmtId="1" fontId="7" fillId="0" borderId="18" xfId="0" applyNumberFormat="1" applyFont="1" applyBorder="1"/>
    <xf numFmtId="0" fontId="7" fillId="0" borderId="18" xfId="0" applyFont="1" applyBorder="1" applyAlignment="1">
      <alignment wrapText="1"/>
    </xf>
    <xf numFmtId="0" fontId="7" fillId="0" borderId="18" xfId="0" applyFont="1" applyBorder="1"/>
    <xf numFmtId="1" fontId="2" fillId="4" borderId="19" xfId="3" applyNumberFormat="1" applyBorder="1"/>
    <xf numFmtId="0" fontId="7" fillId="0" borderId="17" xfId="0" applyFont="1" applyBorder="1" applyAlignment="1">
      <alignment wrapText="1"/>
    </xf>
    <xf numFmtId="0" fontId="7" fillId="2" borderId="12" xfId="1" applyBorder="1"/>
    <xf numFmtId="0" fontId="9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1" fontId="11" fillId="0" borderId="8" xfId="0" applyNumberFormat="1" applyFont="1" applyBorder="1"/>
    <xf numFmtId="1" fontId="11" fillId="0" borderId="23" xfId="0" applyNumberFormat="1" applyFont="1" applyBorder="1"/>
    <xf numFmtId="1" fontId="1" fillId="3" borderId="24" xfId="2" applyNumberFormat="1" applyBorder="1"/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7" fillId="0" borderId="27" xfId="0" applyFont="1" applyBorder="1"/>
    <xf numFmtId="1" fontId="11" fillId="0" borderId="2" xfId="0" applyNumberFormat="1" applyFont="1" applyBorder="1"/>
    <xf numFmtId="0" fontId="7" fillId="0" borderId="0" xfId="0" applyFont="1"/>
    <xf numFmtId="0" fontId="7" fillId="8" borderId="0" xfId="0" applyFont="1" applyFill="1" applyAlignment="1">
      <alignment horizontal="left" vertical="center"/>
    </xf>
    <xf numFmtId="0" fontId="7" fillId="0" borderId="0" xfId="0" applyFont="1"/>
    <xf numFmtId="0" fontId="7" fillId="0" borderId="0" xfId="0" applyFont="1"/>
    <xf numFmtId="0" fontId="7" fillId="0" borderId="2" xfId="0" applyFont="1" applyFill="1" applyBorder="1"/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2" fillId="4" borderId="2" xfId="3" applyBorder="1"/>
    <xf numFmtId="0" fontId="7" fillId="0" borderId="26" xfId="0" applyFont="1" applyBorder="1" applyAlignment="1">
      <alignment wrapText="1"/>
    </xf>
    <xf numFmtId="0" fontId="7" fillId="6" borderId="26" xfId="0" applyFont="1" applyFill="1" applyBorder="1"/>
    <xf numFmtId="1" fontId="1" fillId="3" borderId="26" xfId="2" applyNumberFormat="1" applyBorder="1"/>
    <xf numFmtId="1" fontId="7" fillId="0" borderId="26" xfId="0" applyNumberFormat="1" applyFont="1" applyBorder="1"/>
    <xf numFmtId="1" fontId="11" fillId="0" borderId="26" xfId="0" applyNumberFormat="1" applyFont="1" applyBorder="1"/>
    <xf numFmtId="0" fontId="9" fillId="0" borderId="0" xfId="0" applyFont="1" applyAlignment="1">
      <alignment wrapText="1"/>
    </xf>
    <xf numFmtId="0" fontId="14" fillId="2" borderId="0" xfId="1" applyFont="1"/>
    <xf numFmtId="14" fontId="7" fillId="8" borderId="0" xfId="0" applyNumberFormat="1" applyFont="1" applyFill="1"/>
    <xf numFmtId="0" fontId="3" fillId="5" borderId="2" xfId="4" applyBorder="1"/>
    <xf numFmtId="0" fontId="3" fillId="5" borderId="2" xfId="4" applyBorder="1"/>
    <xf numFmtId="0" fontId="7" fillId="0" borderId="28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5" fillId="0" borderId="0" xfId="0" applyFont="1"/>
    <xf numFmtId="0" fontId="7" fillId="0" borderId="0" xfId="0" applyFont="1"/>
    <xf numFmtId="0" fontId="7" fillId="7" borderId="0" xfId="1" applyFill="1" applyAlignment="1">
      <alignment horizontal="left" vertical="top" wrapText="1"/>
    </xf>
    <xf numFmtId="0" fontId="1" fillId="3" borderId="2" xfId="2" applyBorder="1" applyAlignment="1">
      <alignment horizontal="left" vertical="top" wrapText="1"/>
    </xf>
    <xf numFmtId="0" fontId="4" fillId="5" borderId="0" xfId="4" applyFont="1" applyAlignment="1">
      <alignment horizontal="center"/>
    </xf>
    <xf numFmtId="0" fontId="3" fillId="5" borderId="0" xfId="4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3" borderId="3" xfId="2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0" fillId="4" borderId="0" xfId="3" applyFont="1" applyAlignment="1">
      <alignment horizontal="center"/>
    </xf>
    <xf numFmtId="0" fontId="7" fillId="0" borderId="28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15" fillId="9" borderId="1" xfId="5" applyFont="1" applyBorder="1" applyAlignment="1">
      <alignment horizontal="center"/>
    </xf>
    <xf numFmtId="0" fontId="14" fillId="2" borderId="24" xfId="1" applyFont="1" applyBorder="1"/>
  </cellXfs>
  <cellStyles count="9">
    <cellStyle name="20% — акцент1 2" xfId="7" xr:uid="{00000000-0005-0000-0000-00002F000000}"/>
    <cellStyle name="20% — акцент5 2" xfId="8" xr:uid="{00000000-0005-0000-0000-000030000000}"/>
    <cellStyle name="40% — акцент5" xfId="1" builtinId="47"/>
    <cellStyle name="Акцент5" xfId="5" builtinId="45"/>
    <cellStyle name="Нейтральный" xfId="2" builtinId="28"/>
    <cellStyle name="Обычный" xfId="0" builtinId="0"/>
    <cellStyle name="Обычный 2" xfId="6" xr:uid="{00000000-0005-0000-0000-000031000000}"/>
    <cellStyle name="Плохой" xfId="3" builtinId="27"/>
    <cellStyle name="Хороший" xfId="4" builtinId="2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B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50E778BB-5AA0-86AC-C87E-35580F875033}" id="{7925F4E6-D03A-A7B8-2004-FBD7A57226C6}"/>
  <person displayName="tc={01F9FFB9-1722-D8A5-B513-68957C289289}" id="{4395408D-706C-73F1-5B58-E8A0FE96C259}"/>
  <person displayName="tc={96C1BB7A-B8A1-6BAE-52FC-D9A58B44952B}" id="{A3FEB9F8-8C06-D5DC-B045-682B89CCFE48}"/>
  <person displayName="tc={6D6DC9E7-BF65-6800-52C4-E690172E6622}" id="{13E2295C-293E-5CB7-34D8-A882E7BF167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43" personId="{4395408D-706C-73F1-5B58-E8A0FE96C259}" id="{001F006A-00D9-4C80-8221-00D900EA00CE}" done="0">
    <text xml:space="preserve">Василий Попов:
OpenSearch на Астра линукс требует 6vcpu / 16ram для комфортной работы
</text>
  </threadedComment>
  <threadedComment ref="A45" personId="{A3FEB9F8-8C06-D5DC-B045-682B89CCFE48}" id="{009F0085-007D-40D5-8402-005A0030002A}" done="0">
    <text xml:space="preserve">Василий Попов:
consul, redis, minio, postgre, kafka, cassandra
</text>
  </threadedComment>
  <threadedComment ref="A46" personId="{13E2295C-293E-5CB7-34D8-A882E7BF167B}" id="{005D0008-00C0-4947-B0F2-0005003B003F}" done="0">
    <text xml:space="preserve">Василий Попов:
S3 (minio)
https://developer.harness.io/docs/self-managed-enterprise-edition/advanced-configurations/external-db/use-self-managed-minio-object-storage/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tabSelected="1" topLeftCell="A46" zoomScaleNormal="100" workbookViewId="0">
      <selection activeCell="I50" sqref="I50"/>
    </sheetView>
  </sheetViews>
  <sheetFormatPr defaultColWidth="11" defaultRowHeight="15.75" x14ac:dyDescent="0.25"/>
  <cols>
    <col min="1" max="1" width="23.25" style="13" customWidth="1"/>
    <col min="2" max="2" width="16.875" style="13" customWidth="1"/>
    <col min="3" max="3" width="20.625" style="13" customWidth="1"/>
    <col min="4" max="4" width="14.125" style="13" customWidth="1"/>
    <col min="5" max="5" width="15.375" style="13" customWidth="1"/>
    <col min="6" max="6" width="12.375" style="13" customWidth="1"/>
    <col min="7" max="7" width="19.125" style="13" customWidth="1"/>
    <col min="8" max="8" width="15.375" style="13" customWidth="1"/>
    <col min="9" max="9" width="16.875" style="13" customWidth="1"/>
    <col min="10" max="10" width="14.375" style="13" customWidth="1"/>
    <col min="11" max="11" width="27.375" style="13" customWidth="1"/>
    <col min="12" max="12" width="18.375" style="13" customWidth="1"/>
    <col min="13" max="13" width="21.5" style="13" customWidth="1"/>
    <col min="14" max="14" width="16.625" style="13" customWidth="1"/>
    <col min="15" max="15" width="20.875" style="13" customWidth="1"/>
    <col min="16" max="16" width="18.625" style="13" customWidth="1"/>
    <col min="17" max="16384" width="11" style="13"/>
  </cols>
  <sheetData>
    <row r="1" spans="1:17" x14ac:dyDescent="0.25">
      <c r="A1" s="81" t="s">
        <v>0</v>
      </c>
      <c r="B1" s="82"/>
      <c r="C1" s="82"/>
      <c r="D1" s="87" t="s">
        <v>63</v>
      </c>
      <c r="E1" s="87"/>
      <c r="F1" s="87"/>
      <c r="H1" s="56"/>
      <c r="I1" s="14"/>
      <c r="J1" s="14"/>
      <c r="K1" s="8"/>
    </row>
    <row r="2" spans="1:17" ht="26.1" customHeight="1" x14ac:dyDescent="0.25">
      <c r="A2" s="57" t="s">
        <v>85</v>
      </c>
      <c r="B2" s="71">
        <v>45866</v>
      </c>
      <c r="I2" s="14"/>
      <c r="J2" s="14"/>
      <c r="K2" s="8"/>
    </row>
    <row r="3" spans="1:17" ht="23.1" customHeight="1" x14ac:dyDescent="0.25">
      <c r="A3" s="85" t="s">
        <v>53</v>
      </c>
      <c r="B3" s="86"/>
      <c r="C3" s="16" t="s">
        <v>57</v>
      </c>
      <c r="D3" s="16" t="s">
        <v>58</v>
      </c>
    </row>
    <row r="4" spans="1:17" ht="15.95" customHeight="1" x14ac:dyDescent="0.25">
      <c r="A4" s="85"/>
      <c r="B4" s="86"/>
      <c r="C4" s="15" t="s">
        <v>54</v>
      </c>
      <c r="D4" s="23">
        <v>0</v>
      </c>
      <c r="G4" s="69"/>
      <c r="H4" s="69"/>
      <c r="I4" s="69"/>
      <c r="J4" s="59"/>
    </row>
    <row r="5" spans="1:17" ht="15.95" customHeight="1" x14ac:dyDescent="0.25">
      <c r="A5" s="85"/>
      <c r="B5" s="86"/>
      <c r="C5" s="15" t="s">
        <v>55</v>
      </c>
      <c r="D5" s="23">
        <v>0</v>
      </c>
      <c r="G5" s="8"/>
      <c r="H5" s="8"/>
      <c r="I5" s="8"/>
      <c r="J5" s="59"/>
    </row>
    <row r="6" spans="1:17" ht="15" customHeight="1" x14ac:dyDescent="0.25">
      <c r="A6" s="85"/>
      <c r="B6" s="86"/>
      <c r="C6" s="15" t="s">
        <v>47</v>
      </c>
      <c r="D6" s="23">
        <v>0</v>
      </c>
      <c r="H6" s="59"/>
      <c r="I6" s="59"/>
      <c r="J6" s="59"/>
    </row>
    <row r="7" spans="1:17" x14ac:dyDescent="0.25">
      <c r="A7" s="85"/>
      <c r="B7" s="86"/>
      <c r="C7" s="15" t="s">
        <v>56</v>
      </c>
      <c r="D7" s="23">
        <v>0</v>
      </c>
    </row>
    <row r="8" spans="1:17" x14ac:dyDescent="0.25">
      <c r="C8" s="15" t="s">
        <v>62</v>
      </c>
      <c r="D8" s="23">
        <v>0</v>
      </c>
    </row>
    <row r="9" spans="1:17" x14ac:dyDescent="0.25">
      <c r="C9" s="15" t="s">
        <v>79</v>
      </c>
      <c r="D9" s="23">
        <v>0</v>
      </c>
    </row>
    <row r="10" spans="1:17" s="58" customFormat="1" x14ac:dyDescent="0.25">
      <c r="C10" s="60" t="s">
        <v>86</v>
      </c>
      <c r="D10" s="23">
        <v>0</v>
      </c>
    </row>
    <row r="12" spans="1:17" ht="18" customHeight="1" x14ac:dyDescent="0.3">
      <c r="A12" s="93" t="s">
        <v>95</v>
      </c>
      <c r="B12" s="93"/>
      <c r="C12" s="93"/>
      <c r="D12" s="93"/>
      <c r="E12" s="93"/>
      <c r="F12"/>
      <c r="G12"/>
      <c r="H12"/>
      <c r="I12"/>
      <c r="J12"/>
      <c r="K12"/>
      <c r="L12"/>
      <c r="M12"/>
      <c r="N12"/>
      <c r="O12"/>
      <c r="P12"/>
      <c r="Q12"/>
    </row>
    <row r="13" spans="1:17" ht="20.100000000000001" customHeight="1" x14ac:dyDescent="0.25">
      <c r="A13" s="74" t="s">
        <v>83</v>
      </c>
      <c r="B13" s="75"/>
      <c r="C13" s="75"/>
      <c r="D13" s="76"/>
      <c r="E13" s="23"/>
      <c r="F13" s="59"/>
      <c r="G13" s="59"/>
      <c r="H13" s="59"/>
      <c r="I13" s="59"/>
      <c r="J13" s="59"/>
      <c r="K13" s="59"/>
      <c r="L13" s="59"/>
    </row>
    <row r="14" spans="1:17" s="59" customFormat="1" ht="20.100000000000001" customHeight="1" x14ac:dyDescent="0.25">
      <c r="A14" s="94" t="s">
        <v>91</v>
      </c>
      <c r="B14" s="94"/>
      <c r="C14" s="94"/>
      <c r="D14" s="94"/>
      <c r="E14" s="94"/>
    </row>
    <row r="15" spans="1:17" s="59" customFormat="1" ht="20.100000000000001" customHeight="1" x14ac:dyDescent="0.25">
      <c r="A15" s="88" t="s">
        <v>89</v>
      </c>
      <c r="B15" s="89"/>
      <c r="C15" s="89"/>
      <c r="D15" s="90"/>
      <c r="E15" s="23"/>
    </row>
    <row r="16" spans="1:17" s="59" customFormat="1" ht="20.100000000000001" customHeight="1" x14ac:dyDescent="0.25">
      <c r="A16" s="88" t="s">
        <v>59</v>
      </c>
      <c r="B16" s="89"/>
      <c r="C16" s="89"/>
      <c r="D16" s="90"/>
      <c r="E16" s="72"/>
    </row>
    <row r="17" spans="1:12" s="59" customFormat="1" ht="20.100000000000001" customHeight="1" x14ac:dyDescent="0.25">
      <c r="A17" s="70" t="s">
        <v>92</v>
      </c>
      <c r="B17" s="70"/>
      <c r="C17" s="70"/>
      <c r="D17" s="70"/>
      <c r="E17" s="70"/>
    </row>
    <row r="18" spans="1:12" s="59" customFormat="1" ht="20.100000000000001" customHeight="1" x14ac:dyDescent="0.25">
      <c r="A18" s="74" t="s">
        <v>96</v>
      </c>
      <c r="B18" s="75"/>
      <c r="C18" s="75"/>
      <c r="D18" s="76"/>
      <c r="E18" s="73"/>
      <c r="F18" s="33" t="s">
        <v>90</v>
      </c>
      <c r="G18" s="33"/>
      <c r="H18" s="33"/>
      <c r="I18" s="33"/>
      <c r="J18" s="33"/>
      <c r="K18" s="33"/>
      <c r="L18" s="33"/>
    </row>
    <row r="19" spans="1:12" s="59" customFormat="1" ht="20.100000000000001" customHeight="1" x14ac:dyDescent="0.25">
      <c r="A19" s="88" t="s">
        <v>94</v>
      </c>
      <c r="B19" s="89"/>
      <c r="C19" s="89"/>
      <c r="D19" s="90"/>
      <c r="E19" s="23"/>
      <c r="F19"/>
      <c r="G19"/>
      <c r="H19"/>
      <c r="I19"/>
      <c r="J19"/>
      <c r="K19"/>
      <c r="L19"/>
    </row>
    <row r="20" spans="1:12" s="59" customFormat="1" ht="20.100000000000001" customHeight="1" x14ac:dyDescent="0.25">
      <c r="A20" s="74" t="s">
        <v>1</v>
      </c>
      <c r="B20" s="75"/>
      <c r="C20" s="75"/>
      <c r="D20" s="76"/>
      <c r="E20" s="23"/>
      <c r="F20"/>
      <c r="G20"/>
      <c r="H20"/>
      <c r="I20"/>
      <c r="J20"/>
      <c r="K20"/>
      <c r="L20"/>
    </row>
    <row r="21" spans="1:12" s="59" customFormat="1" ht="20.100000000000001" customHeight="1" x14ac:dyDescent="0.25">
      <c r="A21" s="92" t="s">
        <v>60</v>
      </c>
      <c r="B21" s="92"/>
      <c r="C21" s="92"/>
      <c r="D21" s="92"/>
      <c r="E21" s="23">
        <v>365</v>
      </c>
      <c r="F21"/>
      <c r="G21"/>
      <c r="H21"/>
      <c r="I21"/>
      <c r="J21"/>
      <c r="K21"/>
      <c r="L21"/>
    </row>
    <row r="22" spans="1:12" ht="20.100000000000001" customHeight="1" x14ac:dyDescent="0.25">
      <c r="A22" s="70" t="s">
        <v>47</v>
      </c>
      <c r="B22" s="70"/>
      <c r="C22" s="70"/>
      <c r="D22" s="70"/>
      <c r="E22" s="70"/>
      <c r="F22"/>
      <c r="G22"/>
      <c r="H22"/>
      <c r="I22"/>
      <c r="J22"/>
      <c r="K22"/>
      <c r="L22"/>
    </row>
    <row r="23" spans="1:12" s="59" customFormat="1" ht="20.100000000000001" customHeight="1" x14ac:dyDescent="0.25">
      <c r="A23" s="91" t="s">
        <v>93</v>
      </c>
      <c r="B23" s="91"/>
      <c r="C23" s="91"/>
      <c r="D23" s="91"/>
      <c r="E23" s="23"/>
      <c r="F23"/>
      <c r="G23"/>
      <c r="H23"/>
      <c r="I23"/>
      <c r="J23"/>
      <c r="K23"/>
      <c r="L23"/>
    </row>
    <row r="24" spans="1:12" s="59" customFormat="1" x14ac:dyDescent="0.25"/>
    <row r="25" spans="1:12" s="59" customFormat="1" x14ac:dyDescent="0.25"/>
    <row r="26" spans="1:12" x14ac:dyDescent="0.25">
      <c r="A26" s="8"/>
      <c r="B26" s="59"/>
      <c r="C26" s="14"/>
      <c r="D26" s="14"/>
      <c r="E26" s="14"/>
      <c r="F26" s="14"/>
      <c r="G26" s="14"/>
      <c r="H26" s="14"/>
      <c r="I26" s="14"/>
      <c r="J26" s="14"/>
      <c r="K26" s="8"/>
      <c r="L26" s="59"/>
    </row>
    <row r="27" spans="1:12" ht="15.95" customHeight="1" x14ac:dyDescent="0.25">
      <c r="A27" s="83" t="s">
        <v>2</v>
      </c>
      <c r="B27" s="83"/>
      <c r="C27" s="83"/>
      <c r="D27" s="83"/>
      <c r="E27" s="83"/>
      <c r="F27" s="83"/>
      <c r="G27" s="83"/>
      <c r="H27" s="83"/>
      <c r="I27" s="83"/>
      <c r="J27" s="14"/>
      <c r="K27" s="8"/>
    </row>
    <row r="28" spans="1:12" ht="204" customHeight="1" x14ac:dyDescent="0.25">
      <c r="A28" s="25" t="s">
        <v>3</v>
      </c>
      <c r="B28" s="26" t="s">
        <v>4</v>
      </c>
      <c r="C28" s="26" t="s">
        <v>5</v>
      </c>
      <c r="D28" s="26" t="s">
        <v>6</v>
      </c>
      <c r="E28" s="26" t="s">
        <v>49</v>
      </c>
      <c r="F28" s="26" t="s">
        <v>7</v>
      </c>
      <c r="G28" s="26" t="s">
        <v>48</v>
      </c>
      <c r="H28" s="26" t="s">
        <v>50</v>
      </c>
      <c r="I28" s="26" t="s">
        <v>8</v>
      </c>
      <c r="J28" s="26" t="s">
        <v>51</v>
      </c>
      <c r="K28" s="84" t="s">
        <v>45</v>
      </c>
    </row>
    <row r="29" spans="1:12" x14ac:dyDescent="0.25">
      <c r="A29" s="15" t="s">
        <v>9</v>
      </c>
      <c r="B29" s="27">
        <v>40</v>
      </c>
      <c r="C29" s="28">
        <f>$E$15*B29/100</f>
        <v>0</v>
      </c>
      <c r="D29" s="29">
        <v>2</v>
      </c>
      <c r="E29" s="29">
        <v>2</v>
      </c>
      <c r="F29" s="28">
        <f t="shared" ref="F29:F31" si="0">ROUNDUP(C29/D29*E29,0)</f>
        <v>0</v>
      </c>
      <c r="G29" s="29">
        <v>10</v>
      </c>
      <c r="H29" s="29">
        <v>60</v>
      </c>
      <c r="I29" s="28">
        <f t="shared" ref="I29:I31" si="1">ROUNDUP(C29/D29,0)</f>
        <v>0</v>
      </c>
      <c r="J29" s="27">
        <v>1</v>
      </c>
      <c r="K29" s="84"/>
    </row>
    <row r="30" spans="1:12" x14ac:dyDescent="0.25">
      <c r="A30" s="15" t="s">
        <v>10</v>
      </c>
      <c r="B30" s="27">
        <v>32</v>
      </c>
      <c r="C30" s="28">
        <f t="shared" ref="C30:C33" si="2">$E$15*B30/100</f>
        <v>0</v>
      </c>
      <c r="D30" s="29">
        <v>4</v>
      </c>
      <c r="E30" s="29">
        <v>3</v>
      </c>
      <c r="F30" s="28">
        <f t="shared" si="0"/>
        <v>0</v>
      </c>
      <c r="G30" s="29">
        <v>10</v>
      </c>
      <c r="H30" s="29">
        <v>60</v>
      </c>
      <c r="I30" s="28">
        <f t="shared" si="1"/>
        <v>0</v>
      </c>
      <c r="J30" s="27">
        <v>2</v>
      </c>
      <c r="K30" s="84"/>
    </row>
    <row r="31" spans="1:12" x14ac:dyDescent="0.25">
      <c r="A31" s="15" t="s">
        <v>11</v>
      </c>
      <c r="B31" s="27">
        <v>16</v>
      </c>
      <c r="C31" s="28">
        <f t="shared" si="2"/>
        <v>0</v>
      </c>
      <c r="D31" s="29">
        <v>8</v>
      </c>
      <c r="E31" s="29">
        <v>4</v>
      </c>
      <c r="F31" s="28">
        <f t="shared" si="0"/>
        <v>0</v>
      </c>
      <c r="G31" s="29">
        <v>10</v>
      </c>
      <c r="H31" s="29">
        <v>60</v>
      </c>
      <c r="I31" s="28">
        <f t="shared" si="1"/>
        <v>0</v>
      </c>
      <c r="J31" s="27">
        <v>3</v>
      </c>
      <c r="K31" s="84"/>
    </row>
    <row r="32" spans="1:12" x14ac:dyDescent="0.25">
      <c r="A32" s="15" t="s">
        <v>12</v>
      </c>
      <c r="B32" s="27">
        <v>10</v>
      </c>
      <c r="C32" s="28">
        <f t="shared" si="2"/>
        <v>0</v>
      </c>
      <c r="D32" s="29">
        <v>20</v>
      </c>
      <c r="E32" s="29">
        <v>4</v>
      </c>
      <c r="F32" s="28">
        <f>ROUNDUP(C32/D32*E32,0)</f>
        <v>0</v>
      </c>
      <c r="G32" s="29">
        <v>10</v>
      </c>
      <c r="H32" s="29">
        <v>60</v>
      </c>
      <c r="I32" s="28">
        <f>ROUNDUP(C32/D32,0)</f>
        <v>0</v>
      </c>
      <c r="J32" s="27">
        <v>5</v>
      </c>
      <c r="K32" s="84"/>
    </row>
    <row r="33" spans="1:16" x14ac:dyDescent="0.25">
      <c r="A33" s="15" t="s">
        <v>13</v>
      </c>
      <c r="B33" s="27">
        <v>2</v>
      </c>
      <c r="C33" s="28">
        <f t="shared" si="2"/>
        <v>0</v>
      </c>
      <c r="D33" s="29">
        <v>50</v>
      </c>
      <c r="E33" s="29">
        <v>3</v>
      </c>
      <c r="F33" s="28">
        <f>ROUNDUP(C33/D33*E33,0)</f>
        <v>0</v>
      </c>
      <c r="G33" s="29">
        <v>10</v>
      </c>
      <c r="H33" s="29">
        <v>70</v>
      </c>
      <c r="I33" s="28">
        <f>ROUNDUP(C33/D33,0)</f>
        <v>0</v>
      </c>
      <c r="J33" s="27">
        <v>7</v>
      </c>
      <c r="K33" s="84"/>
    </row>
    <row r="34" spans="1:16" x14ac:dyDescent="0.25">
      <c r="A34" s="26" t="s">
        <v>14</v>
      </c>
      <c r="B34" s="28">
        <f>SUM(B29:B33)</f>
        <v>100</v>
      </c>
      <c r="C34" s="28">
        <f>SUM(C29:C33)</f>
        <v>0</v>
      </c>
      <c r="D34" s="30"/>
      <c r="E34" s="30"/>
      <c r="F34" s="28">
        <f>SUM(F29:F33)</f>
        <v>0</v>
      </c>
      <c r="G34" s="28">
        <f>ROUNDUP(C29*G29/100+C30*G30/100+C31*G31/100+C32*G32/100+C33*G33/100,0)</f>
        <v>0</v>
      </c>
      <c r="H34" s="28">
        <f>ROUNDUP(C29*H29/100+C30*H30/100+C31*H31/100+C32*H32/100,0)</f>
        <v>0</v>
      </c>
      <c r="I34" s="28">
        <f>SUM(I29:I33)</f>
        <v>0</v>
      </c>
      <c r="J34" s="31">
        <f>IF(ROUNDUP(I29*J29/100+I30*J30/100+I31*J31/100+I32*J32/100+I33*J33/100,0)&lt;3,3,ROUNDUP(I29*J29/100+I30*J30/100+I31*J31/100+I32*J32/100+I33*J33/100,0))</f>
        <v>3</v>
      </c>
      <c r="K34" s="84"/>
    </row>
    <row r="35" spans="1:16" ht="15.95" customHeight="1" x14ac:dyDescent="0.25">
      <c r="A35" s="7"/>
      <c r="J35" s="79" t="s">
        <v>80</v>
      </c>
      <c r="K35" s="79"/>
      <c r="L35" s="79"/>
      <c r="M35" s="79"/>
      <c r="N35" s="79"/>
      <c r="O35" s="79"/>
    </row>
    <row r="36" spans="1:16" x14ac:dyDescent="0.25">
      <c r="J36" s="79"/>
      <c r="K36" s="79"/>
      <c r="L36" s="79"/>
      <c r="M36" s="79"/>
      <c r="N36" s="79"/>
      <c r="O36" s="79"/>
    </row>
    <row r="37" spans="1:16" ht="39" customHeight="1" x14ac:dyDescent="0.25">
      <c r="J37" s="79"/>
      <c r="K37" s="79"/>
      <c r="L37" s="79"/>
      <c r="M37" s="79"/>
      <c r="N37" s="79"/>
      <c r="O37" s="79"/>
    </row>
    <row r="38" spans="1:16" x14ac:dyDescent="0.25">
      <c r="A38" s="32" t="s">
        <v>61</v>
      </c>
      <c r="B38" s="32"/>
      <c r="C38" s="32"/>
      <c r="D38" s="32"/>
      <c r="E38" s="32"/>
      <c r="F38" s="32"/>
      <c r="G38" s="32"/>
      <c r="H38" s="32"/>
      <c r="I38" s="32"/>
      <c r="J38" s="32"/>
      <c r="K38" s="33"/>
      <c r="L38" s="33"/>
      <c r="M38" s="33"/>
      <c r="N38" s="33"/>
      <c r="O38" s="33"/>
    </row>
    <row r="39" spans="1:16" x14ac:dyDescent="0.25">
      <c r="A39" s="24" t="s">
        <v>15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6" x14ac:dyDescent="0.25">
      <c r="A40" s="33" t="s">
        <v>46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6" x14ac:dyDescent="0.25">
      <c r="A41" s="33" t="s">
        <v>75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6" x14ac:dyDescent="0.25">
      <c r="A42" s="32" t="s">
        <v>81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  <c r="L42" s="33"/>
      <c r="M42" s="33"/>
      <c r="N42" s="33"/>
      <c r="O42" s="33"/>
    </row>
    <row r="43" spans="1:16" x14ac:dyDescent="0.25">
      <c r="A43" s="33" t="s">
        <v>35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6" x14ac:dyDescent="0.25">
      <c r="A44" s="33" t="s">
        <v>16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6" ht="16.5" thickBo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6" ht="31.5" x14ac:dyDescent="0.25">
      <c r="A46" s="45"/>
      <c r="B46" s="34"/>
      <c r="C46" s="46" t="s">
        <v>36</v>
      </c>
      <c r="D46" s="46" t="s">
        <v>17</v>
      </c>
      <c r="E46" s="46" t="s">
        <v>18</v>
      </c>
      <c r="F46" s="46" t="s">
        <v>19</v>
      </c>
      <c r="G46" s="46" t="s">
        <v>20</v>
      </c>
      <c r="H46" s="46" t="s">
        <v>21</v>
      </c>
      <c r="I46" s="46" t="s">
        <v>22</v>
      </c>
      <c r="J46" s="47" t="s">
        <v>23</v>
      </c>
    </row>
    <row r="47" spans="1:16" ht="117.75" customHeight="1" x14ac:dyDescent="0.25">
      <c r="A47" s="48" t="s">
        <v>24</v>
      </c>
      <c r="B47" s="15"/>
      <c r="C47" s="15"/>
      <c r="D47" s="80" t="s">
        <v>82</v>
      </c>
      <c r="E47" s="80"/>
      <c r="F47" s="35" t="s">
        <v>44</v>
      </c>
      <c r="G47" s="15"/>
      <c r="H47" s="15"/>
      <c r="I47" s="15"/>
      <c r="J47" s="36"/>
      <c r="K47" s="10" t="s">
        <v>39</v>
      </c>
      <c r="L47" s="11" t="s">
        <v>37</v>
      </c>
      <c r="M47" s="11" t="s">
        <v>38</v>
      </c>
      <c r="N47" s="11" t="s">
        <v>42</v>
      </c>
      <c r="O47" s="11" t="s">
        <v>41</v>
      </c>
      <c r="P47" s="12" t="s">
        <v>52</v>
      </c>
    </row>
    <row r="48" spans="1:16" x14ac:dyDescent="0.25">
      <c r="A48" s="6" t="s">
        <v>67</v>
      </c>
      <c r="B48" s="37" t="s">
        <v>76</v>
      </c>
      <c r="C48" s="1">
        <f>IF(OR(D$4&gt;0,D$6&gt;0),ROUNDUP(P48/16,0),0)</f>
        <v>0</v>
      </c>
      <c r="D48" s="15">
        <f>IF(C48=0,0,MROUND(ROUNDUP(P48/C48,0),2))</f>
        <v>0</v>
      </c>
      <c r="E48" s="15">
        <f>D48*2</f>
        <v>0</v>
      </c>
      <c r="F48" s="1">
        <v>50</v>
      </c>
      <c r="G48" s="38"/>
      <c r="H48" s="38">
        <f>IF(C48=0,0,C48*D48)</f>
        <v>0</v>
      </c>
      <c r="I48" s="38">
        <f>IF(C48=0,0,E48*C48)</f>
        <v>0</v>
      </c>
      <c r="J48" s="49">
        <f t="shared" ref="J48:J60" si="3">F48*C48</f>
        <v>0</v>
      </c>
      <c r="K48" s="43" t="s">
        <v>74</v>
      </c>
      <c r="L48" s="39">
        <f>E15</f>
        <v>0</v>
      </c>
      <c r="M48" s="39">
        <f>ROUNDUP(L48/500,0)</f>
        <v>0</v>
      </c>
      <c r="N48" s="40"/>
      <c r="O48" s="41"/>
      <c r="P48" s="42">
        <f>M48</f>
        <v>0</v>
      </c>
    </row>
    <row r="49" spans="1:16" x14ac:dyDescent="0.25">
      <c r="A49" s="6" t="s">
        <v>25</v>
      </c>
      <c r="B49" s="37" t="s">
        <v>76</v>
      </c>
      <c r="C49" s="1">
        <f>IF(E15&gt;0,ROUNDUP(P49/16,0),0)</f>
        <v>0</v>
      </c>
      <c r="D49" s="15">
        <f t="shared" ref="D49:D58" si="4">IF(C49=0,0,MROUND(ROUNDUP(P49/C49,0),2))</f>
        <v>0</v>
      </c>
      <c r="E49" s="15">
        <f t="shared" ref="E49:E58" si="5">D49*2</f>
        <v>0</v>
      </c>
      <c r="F49" s="1">
        <v>50</v>
      </c>
      <c r="G49" s="38"/>
      <c r="H49" s="38">
        <f t="shared" ref="H49:H58" si="6">IF(C49=0,0,C49*D49)</f>
        <v>0</v>
      </c>
      <c r="I49" s="38">
        <f t="shared" ref="I49:I62" si="7">IF(C49=0,0,E49*C49)</f>
        <v>0</v>
      </c>
      <c r="J49" s="49">
        <f t="shared" si="3"/>
        <v>0</v>
      </c>
      <c r="K49" s="43" t="s">
        <v>26</v>
      </c>
      <c r="L49" s="39">
        <f>F34*3+G34+H34</f>
        <v>0</v>
      </c>
      <c r="M49" s="39">
        <f>ROUNDUP(L49/100,0)</f>
        <v>0</v>
      </c>
      <c r="N49" s="40"/>
      <c r="O49" s="41"/>
      <c r="P49" s="42">
        <f>M49</f>
        <v>0</v>
      </c>
    </row>
    <row r="50" spans="1:16" x14ac:dyDescent="0.25">
      <c r="A50" s="6" t="s">
        <v>32</v>
      </c>
      <c r="B50" s="37" t="s">
        <v>76</v>
      </c>
      <c r="C50" s="1">
        <f>IF(E16&gt;0,ROUNDUP(P50/16,0),0)</f>
        <v>0</v>
      </c>
      <c r="D50" s="15">
        <f t="shared" si="4"/>
        <v>0</v>
      </c>
      <c r="E50" s="15">
        <f>D50</f>
        <v>0</v>
      </c>
      <c r="F50" s="1">
        <v>50</v>
      </c>
      <c r="G50" s="38">
        <f>3*L50</f>
        <v>0</v>
      </c>
      <c r="H50" s="38">
        <f t="shared" si="6"/>
        <v>0</v>
      </c>
      <c r="I50" s="38">
        <f t="shared" si="7"/>
        <v>0</v>
      </c>
      <c r="J50" s="49">
        <f t="shared" si="3"/>
        <v>0</v>
      </c>
      <c r="K50" s="43" t="s">
        <v>84</v>
      </c>
      <c r="L50" s="39">
        <f>E16</f>
        <v>0</v>
      </c>
      <c r="M50" s="39">
        <f>ROUNDUP(L50/100,0)</f>
        <v>0</v>
      </c>
      <c r="N50" s="41"/>
      <c r="O50" s="41"/>
      <c r="P50" s="42">
        <f>M50</f>
        <v>0</v>
      </c>
    </row>
    <row r="51" spans="1:16" ht="110.25" x14ac:dyDescent="0.25">
      <c r="A51" s="6" t="s">
        <v>33</v>
      </c>
      <c r="B51" s="15"/>
      <c r="C51" s="1">
        <f>IF(D5&gt;0,ROUNDUP(P51/8,0),0)</f>
        <v>0</v>
      </c>
      <c r="D51" s="15">
        <f t="shared" si="4"/>
        <v>0</v>
      </c>
      <c r="E51" s="15">
        <f t="shared" si="5"/>
        <v>0</v>
      </c>
      <c r="F51" s="1">
        <v>100</v>
      </c>
      <c r="G51" s="38"/>
      <c r="H51" s="38">
        <f t="shared" si="6"/>
        <v>0</v>
      </c>
      <c r="I51" s="38">
        <f t="shared" si="7"/>
        <v>0</v>
      </c>
      <c r="J51" s="49">
        <f t="shared" si="3"/>
        <v>0</v>
      </c>
      <c r="K51" s="43" t="s">
        <v>43</v>
      </c>
      <c r="L51" s="39">
        <f>J34</f>
        <v>3</v>
      </c>
      <c r="M51" s="39">
        <f>ROUNDUP(L51*2,0)</f>
        <v>6</v>
      </c>
      <c r="N51" s="39">
        <f>F12</f>
        <v>0</v>
      </c>
      <c r="O51" s="41">
        <f>ROUNDUP(N51/24*4,0)</f>
        <v>0</v>
      </c>
      <c r="P51" s="42">
        <f>M51+O51</f>
        <v>6</v>
      </c>
    </row>
    <row r="52" spans="1:16" x14ac:dyDescent="0.25">
      <c r="A52" s="6" t="s">
        <v>27</v>
      </c>
      <c r="B52" s="37" t="s">
        <v>76</v>
      </c>
      <c r="C52" s="1">
        <f>IF(D$6&gt;0,ROUNDUP(P52/16,0),0)</f>
        <v>0</v>
      </c>
      <c r="D52" s="15">
        <f t="shared" si="4"/>
        <v>0</v>
      </c>
      <c r="E52" s="15">
        <f t="shared" si="5"/>
        <v>0</v>
      </c>
      <c r="F52" s="1">
        <v>50</v>
      </c>
      <c r="G52" s="38"/>
      <c r="H52" s="38">
        <f t="shared" si="6"/>
        <v>0</v>
      </c>
      <c r="I52" s="38">
        <f t="shared" si="7"/>
        <v>0</v>
      </c>
      <c r="J52" s="49">
        <f t="shared" si="3"/>
        <v>0</v>
      </c>
      <c r="K52" s="43" t="s">
        <v>28</v>
      </c>
      <c r="L52" s="39">
        <f>E23</f>
        <v>0</v>
      </c>
      <c r="M52" s="39">
        <f>ROUNDUP(L52/6,0)</f>
        <v>0</v>
      </c>
      <c r="N52" s="41"/>
      <c r="O52" s="41"/>
      <c r="P52" s="42">
        <f>M52</f>
        <v>0</v>
      </c>
    </row>
    <row r="53" spans="1:16" x14ac:dyDescent="0.25">
      <c r="A53" s="6" t="s">
        <v>29</v>
      </c>
      <c r="B53" s="37" t="s">
        <v>76</v>
      </c>
      <c r="C53" s="1">
        <f>IF(D$6&gt;0,ROUNDUP(P53/16,0),0)</f>
        <v>0</v>
      </c>
      <c r="D53" s="15">
        <f t="shared" si="4"/>
        <v>0</v>
      </c>
      <c r="E53" s="15">
        <f t="shared" si="5"/>
        <v>0</v>
      </c>
      <c r="F53" s="1">
        <v>50</v>
      </c>
      <c r="G53" s="38"/>
      <c r="H53" s="38">
        <f t="shared" si="6"/>
        <v>0</v>
      </c>
      <c r="I53" s="38">
        <f t="shared" si="7"/>
        <v>0</v>
      </c>
      <c r="J53" s="49">
        <f t="shared" si="3"/>
        <v>0</v>
      </c>
      <c r="K53" s="43" t="s">
        <v>30</v>
      </c>
      <c r="L53" s="39">
        <f>E23</f>
        <v>0</v>
      </c>
      <c r="M53" s="39">
        <f>ROUNDUP(L53*1.5,0)</f>
        <v>0</v>
      </c>
      <c r="N53" s="41"/>
      <c r="O53" s="41"/>
      <c r="P53" s="42">
        <f>M53</f>
        <v>0</v>
      </c>
    </row>
    <row r="54" spans="1:16" x14ac:dyDescent="0.25">
      <c r="A54" s="6" t="s">
        <v>31</v>
      </c>
      <c r="B54" s="37" t="s">
        <v>76</v>
      </c>
      <c r="C54" s="1">
        <f>IF(D$6&gt;0,ROUNDUP(P54/16,0),0)</f>
        <v>0</v>
      </c>
      <c r="D54" s="15">
        <f t="shared" si="4"/>
        <v>0</v>
      </c>
      <c r="E54" s="15">
        <f t="shared" si="5"/>
        <v>0</v>
      </c>
      <c r="F54" s="1">
        <v>50</v>
      </c>
      <c r="G54" s="38"/>
      <c r="H54" s="38">
        <f t="shared" si="6"/>
        <v>0</v>
      </c>
      <c r="I54" s="38">
        <f t="shared" si="7"/>
        <v>0</v>
      </c>
      <c r="J54" s="49">
        <f t="shared" si="3"/>
        <v>0</v>
      </c>
      <c r="K54" s="43" t="s">
        <v>40</v>
      </c>
      <c r="L54" s="39">
        <f>E23</f>
        <v>0</v>
      </c>
      <c r="M54" s="39">
        <f>ROUNDUP(L54*0.5,0)</f>
        <v>0</v>
      </c>
      <c r="N54" s="41"/>
      <c r="O54" s="41"/>
      <c r="P54" s="42">
        <f>M54</f>
        <v>0</v>
      </c>
    </row>
    <row r="55" spans="1:16" ht="78.75" x14ac:dyDescent="0.25">
      <c r="A55" s="9" t="s">
        <v>64</v>
      </c>
      <c r="B55" s="15"/>
      <c r="C55" s="1">
        <f>IF(D$7&gt;0,ROUNDUP(P55/16,0),0)</f>
        <v>0</v>
      </c>
      <c r="D55" s="38">
        <f t="shared" si="4"/>
        <v>0</v>
      </c>
      <c r="E55" s="15">
        <f t="shared" si="5"/>
        <v>0</v>
      </c>
      <c r="F55" s="1">
        <v>100</v>
      </c>
      <c r="G55" s="38"/>
      <c r="H55" s="38">
        <f t="shared" si="6"/>
        <v>0</v>
      </c>
      <c r="I55" s="38">
        <f t="shared" si="7"/>
        <v>0</v>
      </c>
      <c r="J55" s="49">
        <f t="shared" si="3"/>
        <v>0</v>
      </c>
      <c r="K55" s="43" t="s">
        <v>69</v>
      </c>
      <c r="L55" s="39" t="s">
        <v>72</v>
      </c>
      <c r="M55" s="39" t="s">
        <v>72</v>
      </c>
      <c r="N55" s="39">
        <f>E18+E20</f>
        <v>0</v>
      </c>
      <c r="O55" s="41">
        <f>ROUNDUP(N55/24*4,0)</f>
        <v>0</v>
      </c>
      <c r="P55" s="42">
        <f>O55</f>
        <v>0</v>
      </c>
    </row>
    <row r="56" spans="1:16" ht="157.5" x14ac:dyDescent="0.25">
      <c r="A56" s="9" t="s">
        <v>70</v>
      </c>
      <c r="B56" s="15"/>
      <c r="C56" s="1">
        <f>IF(D$7&gt;0,ROUNDUP(P56/16,0),0)</f>
        <v>0</v>
      </c>
      <c r="D56" s="15">
        <f t="shared" si="4"/>
        <v>0</v>
      </c>
      <c r="E56" s="15">
        <f t="shared" si="5"/>
        <v>0</v>
      </c>
      <c r="F56" s="1">
        <v>100</v>
      </c>
      <c r="G56" s="38"/>
      <c r="H56" s="38">
        <f t="shared" si="6"/>
        <v>0</v>
      </c>
      <c r="I56" s="38">
        <f t="shared" si="7"/>
        <v>0</v>
      </c>
      <c r="J56" s="49">
        <f t="shared" si="3"/>
        <v>0</v>
      </c>
      <c r="K56" s="43" t="s">
        <v>71</v>
      </c>
      <c r="L56" s="39">
        <f>E19</f>
        <v>0</v>
      </c>
      <c r="M56" s="39">
        <f>ROUNDUP(L56/1000,0)</f>
        <v>0</v>
      </c>
      <c r="N56" s="39" t="s">
        <v>72</v>
      </c>
      <c r="O56" s="41" t="s">
        <v>72</v>
      </c>
      <c r="P56" s="42">
        <f>M56</f>
        <v>0</v>
      </c>
    </row>
    <row r="57" spans="1:16" x14ac:dyDescent="0.25">
      <c r="A57" s="9" t="s">
        <v>65</v>
      </c>
      <c r="B57" s="37" t="s">
        <v>76</v>
      </c>
      <c r="C57" s="1">
        <f>IF(D$7&gt;0,ROUNDUP(P57/16,0),0)</f>
        <v>0</v>
      </c>
      <c r="D57" s="15">
        <f t="shared" si="4"/>
        <v>0</v>
      </c>
      <c r="E57" s="15">
        <f t="shared" si="5"/>
        <v>0</v>
      </c>
      <c r="F57" s="1">
        <v>100</v>
      </c>
      <c r="G57" s="38"/>
      <c r="H57" s="38">
        <f t="shared" si="6"/>
        <v>0</v>
      </c>
      <c r="I57" s="38">
        <f>IF(C57=0,0,E57*C57)</f>
        <v>0</v>
      </c>
      <c r="J57" s="49">
        <f t="shared" si="3"/>
        <v>0</v>
      </c>
      <c r="K57" s="43" t="s">
        <v>74</v>
      </c>
      <c r="L57" s="39">
        <f>E19</f>
        <v>0</v>
      </c>
      <c r="M57" s="39">
        <f>ROUNDUP(L57/500,0)</f>
        <v>0</v>
      </c>
      <c r="N57" s="39" t="s">
        <v>72</v>
      </c>
      <c r="O57" s="41" t="s">
        <v>72</v>
      </c>
      <c r="P57" s="42">
        <f>M57</f>
        <v>0</v>
      </c>
    </row>
    <row r="58" spans="1:16" ht="47.25" x14ac:dyDescent="0.25">
      <c r="A58" s="9" t="s">
        <v>66</v>
      </c>
      <c r="B58" s="17"/>
      <c r="C58" s="1">
        <f>IF(D$7&gt;0,ROUNDUP(P58/16,0),0)</f>
        <v>0</v>
      </c>
      <c r="D58" s="15">
        <f t="shared" si="4"/>
        <v>0</v>
      </c>
      <c r="E58" s="15">
        <f t="shared" si="5"/>
        <v>0</v>
      </c>
      <c r="F58" s="18">
        <v>100</v>
      </c>
      <c r="G58" s="19"/>
      <c r="H58" s="38">
        <f t="shared" si="6"/>
        <v>0</v>
      </c>
      <c r="I58" s="38">
        <f t="shared" si="7"/>
        <v>0</v>
      </c>
      <c r="J58" s="50">
        <f t="shared" si="3"/>
        <v>0</v>
      </c>
      <c r="K58" s="43" t="s">
        <v>73</v>
      </c>
      <c r="L58" s="39">
        <f>E19</f>
        <v>0</v>
      </c>
      <c r="M58" s="39">
        <f>ROUNDUP(L58/1000,0)</f>
        <v>0</v>
      </c>
      <c r="N58" s="20" t="s">
        <v>72</v>
      </c>
      <c r="O58" s="21" t="s">
        <v>72</v>
      </c>
      <c r="P58" s="22">
        <f>M58</f>
        <v>0</v>
      </c>
    </row>
    <row r="59" spans="1:16" x14ac:dyDescent="0.25">
      <c r="A59" s="6" t="s">
        <v>68</v>
      </c>
      <c r="B59" s="37"/>
      <c r="C59" s="51">
        <f>IF(OR(D5&gt;0,D7&gt;0),1,0)</f>
        <v>0</v>
      </c>
      <c r="D59" s="1">
        <v>4</v>
      </c>
      <c r="E59" s="1">
        <v>8</v>
      </c>
      <c r="F59" s="1">
        <f>100+(E18+E20)*E21</f>
        <v>100</v>
      </c>
      <c r="G59" s="38">
        <f>IF(C59=0,0,$J$12*6/$C$55)</f>
        <v>0</v>
      </c>
      <c r="H59" s="38">
        <f>C59*D59</f>
        <v>0</v>
      </c>
      <c r="I59" s="38">
        <f t="shared" si="7"/>
        <v>0</v>
      </c>
      <c r="J59" s="49">
        <f t="shared" si="3"/>
        <v>0</v>
      </c>
      <c r="K59" s="52"/>
      <c r="L59" s="53"/>
      <c r="M59" s="53"/>
      <c r="N59" s="53"/>
      <c r="O59" s="53"/>
      <c r="P59" s="54"/>
    </row>
    <row r="60" spans="1:16" s="58" customFormat="1" ht="15" customHeight="1" x14ac:dyDescent="0.25">
      <c r="A60" s="25" t="s">
        <v>87</v>
      </c>
      <c r="B60" s="37"/>
      <c r="C60" s="1">
        <f>IF(D$10&gt;0,ROUNDUP(M60/8,0),0)</f>
        <v>0</v>
      </c>
      <c r="D60" s="1">
        <f>IF(C60=0,0,ROUNDUP(M60/C60,0))</f>
        <v>0</v>
      </c>
      <c r="E60" s="1">
        <f>D60</f>
        <v>0</v>
      </c>
      <c r="F60" s="1">
        <f>IF(C60&gt;0,100,0)</f>
        <v>0</v>
      </c>
      <c r="G60" s="38"/>
      <c r="H60" s="38">
        <f>D60*C60</f>
        <v>0</v>
      </c>
      <c r="I60" s="38">
        <f>C60*E60</f>
        <v>0</v>
      </c>
      <c r="J60" s="55">
        <f t="shared" si="3"/>
        <v>0</v>
      </c>
      <c r="K60" s="43" t="s">
        <v>88</v>
      </c>
      <c r="M60" s="39">
        <f>ROUNDUP(E13/1000,0)*2</f>
        <v>0</v>
      </c>
      <c r="N60" s="61"/>
      <c r="O60" s="61"/>
      <c r="P60" s="15"/>
    </row>
    <row r="61" spans="1:16" x14ac:dyDescent="0.25">
      <c r="A61" s="25" t="s">
        <v>77</v>
      </c>
      <c r="B61" s="37"/>
      <c r="C61" s="1">
        <f>IF(D8=0,0,ROUNDUP(P61/D61,0))</f>
        <v>0</v>
      </c>
      <c r="D61" s="1">
        <v>4</v>
      </c>
      <c r="E61" s="1">
        <v>8</v>
      </c>
      <c r="F61" s="1">
        <v>40</v>
      </c>
      <c r="G61" s="38"/>
      <c r="H61" s="38">
        <f>C61*D61</f>
        <v>0</v>
      </c>
      <c r="I61" s="38">
        <f t="shared" si="7"/>
        <v>0</v>
      </c>
      <c r="J61" s="55">
        <f t="shared" ref="J61" si="8">F61*C61</f>
        <v>0</v>
      </c>
      <c r="K61" s="25" t="s">
        <v>78</v>
      </c>
      <c r="L61" s="62">
        <f>E13</f>
        <v>0</v>
      </c>
      <c r="M61" s="62">
        <f>ROUNDUP(L61/2000*4,0)</f>
        <v>0</v>
      </c>
      <c r="N61" s="62"/>
      <c r="O61" s="62"/>
      <c r="P61" s="63">
        <f>M61</f>
        <v>0</v>
      </c>
    </row>
    <row r="62" spans="1:16" x14ac:dyDescent="0.25">
      <c r="A62" s="64" t="s">
        <v>79</v>
      </c>
      <c r="B62" s="65"/>
      <c r="C62" s="66">
        <f>IF(D9&gt;0,1,0)</f>
        <v>0</v>
      </c>
      <c r="D62" s="66">
        <v>1</v>
      </c>
      <c r="E62" s="66">
        <v>1</v>
      </c>
      <c r="F62" s="66">
        <v>10</v>
      </c>
      <c r="G62" s="67"/>
      <c r="H62" s="67">
        <f>D62*C62</f>
        <v>0</v>
      </c>
      <c r="I62" s="67">
        <f t="shared" si="7"/>
        <v>0</v>
      </c>
      <c r="J62" s="68">
        <f>F62*C62</f>
        <v>0</v>
      </c>
      <c r="K62" s="7"/>
      <c r="L62"/>
      <c r="M62"/>
      <c r="N62"/>
      <c r="O62"/>
      <c r="P62"/>
    </row>
    <row r="63" spans="1:16" ht="16.5" thickBot="1" x14ac:dyDescent="0.3"/>
    <row r="64" spans="1:16" ht="16.5" thickBot="1" x14ac:dyDescent="0.3">
      <c r="B64" s="4" t="s">
        <v>34</v>
      </c>
      <c r="C64" s="5">
        <f>SUM(C48:C62)</f>
        <v>0</v>
      </c>
      <c r="D64" s="44"/>
      <c r="E64" s="44"/>
      <c r="F64" s="44"/>
      <c r="G64" s="2"/>
      <c r="H64" s="3">
        <f>SUM(H48:H62)</f>
        <v>0</v>
      </c>
      <c r="I64" s="3">
        <f>SUM(I48:I62)</f>
        <v>0</v>
      </c>
      <c r="J64" s="3">
        <f>SUM(J48:J62)</f>
        <v>0</v>
      </c>
    </row>
    <row r="65" spans="2:4" x14ac:dyDescent="0.25">
      <c r="B65" s="77"/>
      <c r="C65" s="77"/>
      <c r="D65" s="78"/>
    </row>
    <row r="66" spans="2:4" x14ac:dyDescent="0.25">
      <c r="B66" s="77"/>
      <c r="C66" s="77"/>
      <c r="D66" s="78"/>
    </row>
    <row r="67" spans="2:4" x14ac:dyDescent="0.25">
      <c r="B67" s="77"/>
      <c r="C67" s="77"/>
      <c r="D67" s="78"/>
    </row>
    <row r="68" spans="2:4" x14ac:dyDescent="0.25">
      <c r="B68" s="77"/>
      <c r="C68" s="77"/>
      <c r="D68" s="78"/>
    </row>
    <row r="70" spans="2:4" x14ac:dyDescent="0.25">
      <c r="B70" s="77"/>
      <c r="C70" s="77"/>
      <c r="D70" s="78"/>
    </row>
    <row r="71" spans="2:4" x14ac:dyDescent="0.25">
      <c r="B71" s="77"/>
      <c r="C71" s="77"/>
      <c r="D71" s="78"/>
    </row>
    <row r="72" spans="2:4" x14ac:dyDescent="0.25">
      <c r="B72" s="77"/>
      <c r="C72" s="77"/>
      <c r="D72" s="78"/>
    </row>
    <row r="74" spans="2:4" x14ac:dyDescent="0.25">
      <c r="B74" s="77"/>
      <c r="C74" s="77"/>
      <c r="D74" s="78"/>
    </row>
    <row r="75" spans="2:4" x14ac:dyDescent="0.25">
      <c r="B75" s="77"/>
      <c r="C75" s="77"/>
      <c r="D75" s="78"/>
    </row>
    <row r="76" spans="2:4" x14ac:dyDescent="0.25">
      <c r="B76" s="77"/>
      <c r="C76" s="77"/>
      <c r="D76" s="78"/>
    </row>
    <row r="77" spans="2:4" x14ac:dyDescent="0.25">
      <c r="B77" s="77"/>
      <c r="C77" s="77"/>
      <c r="D77" s="78"/>
    </row>
    <row r="79" spans="2:4" x14ac:dyDescent="0.25">
      <c r="B79" s="77"/>
      <c r="C79" s="77"/>
      <c r="D79" s="78"/>
    </row>
    <row r="80" spans="2:4" x14ac:dyDescent="0.25">
      <c r="B80" s="77"/>
      <c r="C80" s="77"/>
      <c r="D80" s="78"/>
    </row>
    <row r="81" spans="2:4" x14ac:dyDescent="0.25">
      <c r="B81" s="77"/>
      <c r="C81" s="77"/>
      <c r="D81" s="78"/>
    </row>
    <row r="82" spans="2:4" x14ac:dyDescent="0.25">
      <c r="B82" s="77"/>
      <c r="C82" s="77"/>
      <c r="D82" s="78"/>
    </row>
    <row r="83" spans="2:4" x14ac:dyDescent="0.25">
      <c r="B83" s="77"/>
      <c r="C83" s="77"/>
      <c r="D83" s="78"/>
    </row>
  </sheetData>
  <mergeCells count="29">
    <mergeCell ref="J35:O37"/>
    <mergeCell ref="D47:E47"/>
    <mergeCell ref="A1:C1"/>
    <mergeCell ref="A27:I27"/>
    <mergeCell ref="K28:K34"/>
    <mergeCell ref="A3:B7"/>
    <mergeCell ref="D1:F1"/>
    <mergeCell ref="A19:D19"/>
    <mergeCell ref="A23:D23"/>
    <mergeCell ref="A20:D20"/>
    <mergeCell ref="A21:D21"/>
    <mergeCell ref="A16:D16"/>
    <mergeCell ref="A12:E12"/>
    <mergeCell ref="A14:E14"/>
    <mergeCell ref="A15:D15"/>
    <mergeCell ref="A13:D13"/>
    <mergeCell ref="A18:D18"/>
    <mergeCell ref="B79:B83"/>
    <mergeCell ref="C79:C83"/>
    <mergeCell ref="D79:D83"/>
    <mergeCell ref="B65:B68"/>
    <mergeCell ref="C65:C68"/>
    <mergeCell ref="D65:D68"/>
    <mergeCell ref="B70:B72"/>
    <mergeCell ref="C70:C72"/>
    <mergeCell ref="D70:D72"/>
    <mergeCell ref="B74:B77"/>
    <mergeCell ref="C74:C77"/>
    <mergeCell ref="D74:D77"/>
  </mergeCells>
  <conditionalFormatting sqref="E15">
    <cfRule type="expression" dxfId="9" priority="6">
      <formula>$D$4=0</formula>
    </cfRule>
  </conditionalFormatting>
  <conditionalFormatting sqref="B29:B33 D29:E33 G29:H33">
    <cfRule type="expression" dxfId="8" priority="4">
      <formula>$D$4=0</formula>
    </cfRule>
  </conditionalFormatting>
  <conditionalFormatting sqref="E16">
    <cfRule type="expression" dxfId="7" priority="5">
      <formula>$D$4=0</formula>
    </cfRule>
  </conditionalFormatting>
  <conditionalFormatting sqref="E18">
    <cfRule type="expression" dxfId="6" priority="9">
      <formula>$D$5=0</formula>
    </cfRule>
  </conditionalFormatting>
  <conditionalFormatting sqref="E23">
    <cfRule type="expression" dxfId="5" priority="11">
      <formula>$D$6=0</formula>
    </cfRule>
  </conditionalFormatting>
  <conditionalFormatting sqref="E19">
    <cfRule type="expression" dxfId="4" priority="10">
      <formula>$D$7=0</formula>
    </cfRule>
  </conditionalFormatting>
  <conditionalFormatting sqref="J29:J34">
    <cfRule type="expression" dxfId="3" priority="2">
      <formula>$D$5=0</formula>
    </cfRule>
  </conditionalFormatting>
  <conditionalFormatting sqref="E20">
    <cfRule type="expression" dxfId="2" priority="8" stopIfTrue="1">
      <formula>$D$7=0</formula>
    </cfRule>
  </conditionalFormatting>
  <conditionalFormatting sqref="E21">
    <cfRule type="expression" dxfId="1" priority="7">
      <formula>$D$5+$D$7=0</formula>
    </cfRule>
  </conditionalFormatting>
  <conditionalFormatting sqref="E13">
    <cfRule type="expression" dxfId="0" priority="1" stopIfTrue="1">
      <formula>AND($D$8=0,$D$10=0)</formula>
    </cfRule>
  </conditionalFormatting>
  <dataValidations disablePrompts="1" count="1">
    <dataValidation type="list" allowBlank="1" showInputMessage="1" showErrorMessage="1" sqref="D4:D10 L61:O62" xr:uid="{001F00AE-002D-4A45-85AD-00A200A3004E}">
      <formula1>"1,0"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Гибрид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Нургалиев Равиль Робертович</cp:lastModifiedBy>
  <cp:revision>3</cp:revision>
  <dcterms:created xsi:type="dcterms:W3CDTF">2024-05-23T13:01:03Z</dcterms:created>
  <dcterms:modified xsi:type="dcterms:W3CDTF">2025-07-29T11:40:17Z</dcterms:modified>
</cp:coreProperties>
</file>