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/>
  <mc:AlternateContent xmlns:mc="http://schemas.openxmlformats.org/markup-compatibility/2006">
    <mc:Choice Requires="x15">
      <x15ac:absPath xmlns:x15ac="http://schemas.microsoft.com/office/spreadsheetml/2010/11/ac" url="C:\Users\eferapontov\Downloads\"/>
    </mc:Choice>
  </mc:AlternateContent>
  <xr:revisionPtr revIDLastSave="0" documentId="13_ncr:1_{2D2C5D40-8A70-4189-A941-BD01D6E49C53}" xr6:coauthVersionLast="36" xr6:coauthVersionMax="36" xr10:uidLastSave="{00000000-0000-0000-0000-000000000000}"/>
  <bookViews>
    <workbookView xWindow="0" yWindow="0" windowWidth="23040" windowHeight="10500" xr2:uid="{00000000-000D-0000-FFFF-FFFF00000000}"/>
  </bookViews>
  <sheets>
    <sheet name="Гибрид" sheetId="2" r:id="rId1"/>
  </sheets>
  <calcPr calcId="191029"/>
</workbook>
</file>

<file path=xl/calcChain.xml><?xml version="1.0" encoding="utf-8"?>
<calcChain xmlns="http://schemas.openxmlformats.org/spreadsheetml/2006/main">
  <c r="C47" i="2" l="1"/>
  <c r="C46" i="2"/>
  <c r="C44" i="2"/>
  <c r="C43" i="2"/>
  <c r="C42" i="2"/>
  <c r="C41" i="2"/>
  <c r="C39" i="2"/>
  <c r="C38" i="2"/>
  <c r="F48" i="2" l="1"/>
  <c r="L49" i="2"/>
  <c r="C50" i="2"/>
  <c r="J50" i="2" s="1"/>
  <c r="C48" i="2"/>
  <c r="I48" i="2" s="1"/>
  <c r="I50" i="2" l="1"/>
  <c r="H50" i="2"/>
  <c r="N44" i="2"/>
  <c r="L47" i="2"/>
  <c r="M47" i="2" s="1"/>
  <c r="P47" i="2" s="1"/>
  <c r="D47" i="2" s="1"/>
  <c r="L46" i="2"/>
  <c r="L45" i="2"/>
  <c r="L37" i="2"/>
  <c r="M45" i="2" l="1"/>
  <c r="P45" i="2" s="1"/>
  <c r="C45" i="2" s="1"/>
  <c r="M46" i="2"/>
  <c r="M49" i="2"/>
  <c r="P49" i="2" s="1"/>
  <c r="C49" i="2" s="1"/>
  <c r="M37" i="2"/>
  <c r="P37" i="2" s="1"/>
  <c r="J47" i="2"/>
  <c r="J48" i="2"/>
  <c r="H48" i="2"/>
  <c r="E47" i="2"/>
  <c r="I47" i="2" s="1"/>
  <c r="C37" i="2" l="1"/>
  <c r="D37" i="2" s="1"/>
  <c r="P46" i="2"/>
  <c r="H49" i="2"/>
  <c r="I49" i="2"/>
  <c r="H47" i="2"/>
  <c r="J49" i="2"/>
  <c r="D46" i="2" l="1"/>
  <c r="E46" i="2" s="1"/>
  <c r="I46" i="2" s="1"/>
  <c r="J45" i="2"/>
  <c r="D45" i="2"/>
  <c r="E45" i="2" s="1"/>
  <c r="I45" i="2" s="1"/>
  <c r="B23" i="2"/>
  <c r="C22" i="2"/>
  <c r="F22" i="2" s="1"/>
  <c r="C21" i="2"/>
  <c r="I21" i="2" s="1"/>
  <c r="C20" i="2"/>
  <c r="I20" i="2" s="1"/>
  <c r="C19" i="2"/>
  <c r="I19" i="2" s="1"/>
  <c r="C18" i="2"/>
  <c r="N40" i="2"/>
  <c r="O40" i="2" s="1"/>
  <c r="L39" i="2"/>
  <c r="O44" i="2"/>
  <c r="P44" i="2" s="1"/>
  <c r="D44" i="2" s="1"/>
  <c r="L43" i="2"/>
  <c r="L42" i="2"/>
  <c r="L41" i="2"/>
  <c r="H45" i="2" l="1"/>
  <c r="J46" i="2"/>
  <c r="H46" i="2"/>
  <c r="M42" i="2"/>
  <c r="P42" i="2" s="1"/>
  <c r="D42" i="2" s="1"/>
  <c r="M43" i="2"/>
  <c r="P43" i="2" s="1"/>
  <c r="D43" i="2" s="1"/>
  <c r="M39" i="2"/>
  <c r="P39" i="2" s="1"/>
  <c r="D39" i="2" s="1"/>
  <c r="G39" i="2"/>
  <c r="I22" i="2"/>
  <c r="G23" i="2"/>
  <c r="F20" i="2"/>
  <c r="F21" i="2"/>
  <c r="H23" i="2"/>
  <c r="C23" i="2"/>
  <c r="F18" i="2"/>
  <c r="I18" i="2"/>
  <c r="F19" i="2"/>
  <c r="M41" i="2"/>
  <c r="P41" i="2" s="1"/>
  <c r="D41" i="2" l="1"/>
  <c r="E37" i="2"/>
  <c r="I37" i="2" s="1"/>
  <c r="J43" i="2"/>
  <c r="J42" i="2"/>
  <c r="J37" i="2"/>
  <c r="J39" i="2"/>
  <c r="G48" i="2"/>
  <c r="J44" i="2"/>
  <c r="E44" i="2"/>
  <c r="I44" i="2" s="1"/>
  <c r="H39" i="2"/>
  <c r="J23" i="2"/>
  <c r="L40" i="2" s="1"/>
  <c r="E43" i="2"/>
  <c r="I43" i="2" s="1"/>
  <c r="E42" i="2"/>
  <c r="I42" i="2" s="1"/>
  <c r="F23" i="2"/>
  <c r="I23" i="2"/>
  <c r="M40" i="2" l="1"/>
  <c r="P40" i="2" s="1"/>
  <c r="L38" i="2"/>
  <c r="H44" i="2"/>
  <c r="H43" i="2"/>
  <c r="H42" i="2"/>
  <c r="H37" i="2"/>
  <c r="J41" i="2"/>
  <c r="E39" i="2"/>
  <c r="I39" i="2" s="1"/>
  <c r="E41" i="2"/>
  <c r="I41" i="2" s="1"/>
  <c r="C40" i="2" l="1"/>
  <c r="J40" i="2" s="1"/>
  <c r="M38" i="2"/>
  <c r="P38" i="2" s="1"/>
  <c r="D38" i="2" s="1"/>
  <c r="H41" i="2"/>
  <c r="D40" i="2" l="1"/>
  <c r="E40" i="2" s="1"/>
  <c r="I40" i="2" s="1"/>
  <c r="H38" i="2"/>
  <c r="J38" i="2"/>
  <c r="J52" i="2" s="1"/>
  <c r="C52" i="2"/>
  <c r="E38" i="2"/>
  <c r="I38" i="2" s="1"/>
  <c r="I52" i="2" l="1"/>
  <c r="H40" i="2"/>
  <c r="H52" i="2" s="1"/>
</calcChain>
</file>

<file path=xl/sharedStrings.xml><?xml version="1.0" encoding="utf-8"?>
<sst xmlns="http://schemas.openxmlformats.org/spreadsheetml/2006/main" count="105" uniqueCount="90">
  <si>
    <t>Зеленым отмечены поля для заполнения</t>
  </si>
  <si>
    <t>Пользователей одновременно смотрят видео на портале DION Video</t>
  </si>
  <si>
    <t xml:space="preserve">Загруженных пользователями на портал новых видеозаписей в сутки (в часах) </t>
  </si>
  <si>
    <t>Виды конференций и распределение</t>
  </si>
  <si>
    <t>Профиль конференции</t>
  </si>
  <si>
    <t>Процент пользователей в конференции данного типа</t>
  </si>
  <si>
    <t>Пользователей</t>
  </si>
  <si>
    <t>Размер конференции (среднее кол-во одновременных участников)</t>
  </si>
  <si>
    <t>Микрофонов всего</t>
  </si>
  <si>
    <t>Кол-во конференций</t>
  </si>
  <si>
    <t>тип1 (2 польз)</t>
  </si>
  <si>
    <t>тип2 (3-5 польз)</t>
  </si>
  <si>
    <t>тип3 (6-10 польз)</t>
  </si>
  <si>
    <t>тип4 (10-30 польз)</t>
  </si>
  <si>
    <t>тип 5 (30+ польз)</t>
  </si>
  <si>
    <t>total</t>
  </si>
  <si>
    <t>/дата/</t>
  </si>
  <si>
    <t>• Учитываются требования ПО DION + самой ОС на каждой из VM</t>
  </si>
  <si>
    <t>vCPU</t>
  </si>
  <si>
    <t>RAM (GB)</t>
  </si>
  <si>
    <t>disk (GB)</t>
  </si>
  <si>
    <t>bandwidth per instance (Mbit/sec)</t>
  </si>
  <si>
    <t>суммарно vCPU</t>
  </si>
  <si>
    <t>суммарно RAM</t>
  </si>
  <si>
    <t>суммарно disk</t>
  </si>
  <si>
    <t>приложения</t>
  </si>
  <si>
    <t>MEDIA</t>
  </si>
  <si>
    <t xml:space="preserve">100 активностей 1 vCPU </t>
  </si>
  <si>
    <t>SIP SERVER</t>
  </si>
  <si>
    <t>1 vCPU на 6 вызовов</t>
  </si>
  <si>
    <t>SIP TRANSLATOR</t>
  </si>
  <si>
    <t>1,5 vCPU на 1 вызов</t>
  </si>
  <si>
    <t>SIP TRANSCODER</t>
  </si>
  <si>
    <t>TURN</t>
  </si>
  <si>
    <t>RECORD</t>
  </si>
  <si>
    <t>Итого</t>
  </si>
  <si>
    <t>участников конференций в пике</t>
  </si>
  <si>
    <t>• Учитывается пиковая утилизация всех VM приложений , потеря 1 прикладной VM  приведет к пропорциональной деградации соответствующего сервиса</t>
  </si>
  <si>
    <t>кол-во</t>
  </si>
  <si>
    <t>Требуемая нагрузка (в условных единицах - могут быть пользователи, кол-во звонков или записей и т.д.)</t>
  </si>
  <si>
    <t>Минимально необходимое количество vCPU, чтобы выдержать требуемую нагрузку</t>
  </si>
  <si>
    <t>Как рассчитывается кол-во ядер</t>
  </si>
  <si>
    <t>1 vCPU на 250 пользователей</t>
  </si>
  <si>
    <t>1 vCPU на 2 вызова</t>
  </si>
  <si>
    <t>Минимально необходимое количество vCPU для обработки записей и видео</t>
  </si>
  <si>
    <t>Требуемая нагрузка для обработки видео</t>
  </si>
  <si>
    <t>2 vCPU на одну запись конференции.
Запись длиной 1 час занимает 1 Гб на диске.
Для обработки 6 часовых записей в сутки требуется 1 дополнительный vCPU.</t>
  </si>
  <si>
    <t>Не уменьшайте размер диска.</t>
  </si>
  <si>
    <t>Профиль конференции задается средним количеством пользователей в конференции, процентом включенных микрофонов, камер, демонстраций экрана, активных записей. Можно изменить набор типов.
Значения по умолчанию взяты из статистики по облаку.</t>
  </si>
  <si>
    <t xml:space="preserve">• Калькулятор считает минимальные требования без избыточности! Для отказоустойчивости необходимо иметь минимум 2 активные копии каждой VM. </t>
  </si>
  <si>
    <t>одновременных SIP подключений</t>
  </si>
  <si>
    <t>SIP</t>
  </si>
  <si>
    <t>Процент пользователей с включенными камерами %</t>
  </si>
  <si>
    <t>Пользователей с включенными микрофонами в конференции в среднем (шт)</t>
  </si>
  <si>
    <t>Процент конференций, где ведется демонстрация экрана %</t>
  </si>
  <si>
    <t>Процент конференций с записью %</t>
  </si>
  <si>
    <t>Минимально необходимое количество vCPU без учета зарезервированных vCPU</t>
  </si>
  <si>
    <t>Какие сервисы планируется использовать в гибриде? Проставьте 1 (используются) или 0 (не используются)</t>
  </si>
  <si>
    <t>Конференции</t>
  </si>
  <si>
    <t>Запись конференций</t>
  </si>
  <si>
    <t>Видеопортал</t>
  </si>
  <si>
    <t>Функционал гибрида</t>
  </si>
  <si>
    <t>Используется?</t>
  </si>
  <si>
    <t xml:space="preserve">Пользователей, одновременно подключающихся к конференциям извне </t>
  </si>
  <si>
    <t>Глубина хранения  видеозаписей, записей конференций (в днях) на S3</t>
  </si>
  <si>
    <t>Стенд Гибрида, рассчитанный исходя из:</t>
  </si>
  <si>
    <t>Календарь</t>
  </si>
  <si>
    <t>Заполнение красных полей не требуется</t>
  </si>
  <si>
    <t>HLS Converter</t>
  </si>
  <si>
    <t>DMZ Video Proxy</t>
  </si>
  <si>
    <t>API Video Gateway + Upload Companion + DLP Adapter</t>
  </si>
  <si>
    <t>DION Proxy</t>
  </si>
  <si>
    <t>S3 minio</t>
  </si>
  <si>
    <t>Для обработки 6 загруженных на портал записей длиной час за сутки требуется 1 дополнительный vCPU</t>
  </si>
  <si>
    <t>HLS Delivery в режиме redirect</t>
  </si>
  <si>
    <t xml:space="preserve">1 vCPU на 1000 пользователей.
Количество одновременных скачиваний зависит от пропускной способности от пользователей до хранилища S3. Для воспроизведения одним пользователем видео в качестве 1080p необходимо 6 Мбит/сек. </t>
  </si>
  <si>
    <t xml:space="preserve"> </t>
  </si>
  <si>
    <t xml:space="preserve">1 vCPU на 1000 пользователей </t>
  </si>
  <si>
    <t xml:space="preserve">1 vCPU на 500 пользователей </t>
  </si>
  <si>
    <t>Если калькулятор (столбец C, строки 36-46) рекомендует 1 копию VM, можно разделить ее рекомендованные ресурсы (столбец D и E) на 2 машины поровну и развернуть 2 VM поменьше вместо одной большой для отказоустойчивости.</t>
  </si>
  <si>
    <t>Записей конференций в сутки (в часах)
Для примерной оценки можно взять значение ячейки J22 и умножить его на 6 или 8 (6 или 8 рабочих часов с пиковой нагрузкой по записям)</t>
  </si>
  <si>
    <t>Без переподписки!</t>
  </si>
  <si>
    <t>EWS-Connector</t>
  </si>
  <si>
    <t>1 шт на 2000 пользователей</t>
  </si>
  <si>
    <t>KMS</t>
  </si>
  <si>
    <t>Если известно максимальное количество одновременно ведущихся записей конференций в пике, можно указать это значение вручную ячейке J23. Это значение влияет на масштабирование сервисов записей для поддержки нагрузки в пике. По умолчанию 3 одновременные записи считается минимальным значением.
Исходная формула в ячейке =ОКРУГЛВВЕРХ(I7*J7/100+I8*J8/100+I9*J9/100+I10*J10/100+I11*J11/100;0)</t>
  </si>
  <si>
    <t>Аналогичным образом можно увеличивать количество виртуальных машин вручную. Главное, чтобы суммарный объем vCPU и памяти оставался неизменным. VM не может быть меньше 2 vCPU, 4 Gb RAM.</t>
  </si>
  <si>
    <t>Минимально допустимый размер VM: 2 vCPU, 4 Gb RAM.</t>
  </si>
  <si>
    <t>Общее количество зарегистрированных пользователей</t>
  </si>
  <si>
    <t xml:space="preserve">Калькулятор обновлен: 25.02.25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</si>
</sst>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scheme val="minor"/>
    </font>
    <font>
      <sz val="12"/>
      <color rgb="FF9C57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9C0006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auto="1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757171"/>
      </right>
      <top style="thin">
        <color rgb="FF757171"/>
      </top>
      <bottom style="thin">
        <color rgb="FF757171"/>
      </bottom>
      <diagonal/>
    </border>
    <border>
      <left/>
      <right/>
      <top style="thin">
        <color rgb="FF757171"/>
      </top>
      <bottom style="thin">
        <color rgb="FF75717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5">
    <xf numFmtId="0" fontId="0" fillId="0" borderId="0"/>
    <xf numFmtId="0" fontId="7" fillId="2" borderId="0" applyNumberFormat="0" applyBorder="0" applyProtection="0"/>
    <xf numFmtId="0" fontId="1" fillId="3" borderId="0" applyNumberFormat="0" applyBorder="0" applyProtection="0"/>
    <xf numFmtId="0" fontId="2" fillId="4" borderId="0" applyNumberFormat="0" applyBorder="0" applyProtection="0"/>
    <xf numFmtId="0" fontId="3" fillId="5" borderId="0" applyNumberFormat="0" applyBorder="0" applyProtection="0"/>
  </cellStyleXfs>
  <cellXfs count="84">
    <xf numFmtId="0" fontId="0" fillId="0" borderId="0" xfId="0"/>
    <xf numFmtId="1" fontId="1" fillId="3" borderId="2" xfId="2" applyNumberFormat="1" applyBorder="1"/>
    <xf numFmtId="0" fontId="6" fillId="2" borderId="9" xfId="1" applyFont="1" applyBorder="1"/>
    <xf numFmtId="1" fontId="6" fillId="2" borderId="10" xfId="1" applyNumberFormat="1" applyFont="1" applyBorder="1"/>
    <xf numFmtId="0" fontId="6" fillId="2" borderId="11" xfId="1" applyFont="1" applyBorder="1"/>
    <xf numFmtId="1" fontId="8" fillId="2" borderId="9" xfId="1" applyNumberFormat="1" applyFont="1" applyBorder="1"/>
    <xf numFmtId="0" fontId="7" fillId="0" borderId="7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9" fillId="0" borderId="7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2" xfId="0" applyFont="1" applyBorder="1"/>
    <xf numFmtId="0" fontId="5" fillId="0" borderId="2" xfId="0" applyFont="1" applyBorder="1"/>
    <xf numFmtId="0" fontId="11" fillId="0" borderId="13" xfId="0" applyFont="1" applyBorder="1"/>
    <xf numFmtId="1" fontId="1" fillId="3" borderId="13" xfId="0" applyNumberFormat="1" applyFont="1" applyFill="1" applyBorder="1"/>
    <xf numFmtId="1" fontId="11" fillId="0" borderId="13" xfId="0" applyNumberFormat="1" applyFont="1" applyBorder="1"/>
    <xf numFmtId="1" fontId="11" fillId="0" borderId="21" xfId="0" applyNumberFormat="1" applyFont="1" applyBorder="1"/>
    <xf numFmtId="0" fontId="11" fillId="0" borderId="21" xfId="0" applyFont="1" applyBorder="1"/>
    <xf numFmtId="1" fontId="2" fillId="4" borderId="22" xfId="0" applyNumberFormat="1" applyFont="1" applyFill="1" applyBorder="1"/>
    <xf numFmtId="0" fontId="3" fillId="5" borderId="2" xfId="4" applyBorder="1"/>
    <xf numFmtId="0" fontId="9" fillId="0" borderId="0" xfId="0" applyFont="1" applyAlignment="1">
      <alignment horizontal="left" wrapText="1"/>
    </xf>
    <xf numFmtId="1" fontId="3" fillId="5" borderId="0" xfId="4" applyNumberFormat="1" applyAlignment="1">
      <alignment horizontal="right"/>
    </xf>
    <xf numFmtId="1" fontId="3" fillId="5" borderId="0" xfId="4" applyNumberFormat="1" applyAlignment="1">
      <alignment horizontal="left"/>
    </xf>
    <xf numFmtId="1" fontId="3" fillId="5" borderId="0" xfId="4" applyNumberFormat="1" applyAlignment="1">
      <alignment horizontal="left" wrapText="1"/>
    </xf>
    <xf numFmtId="0" fontId="3" fillId="5" borderId="0" xfId="4"/>
    <xf numFmtId="0" fontId="7" fillId="0" borderId="2" xfId="0" applyFont="1" applyBorder="1" applyAlignment="1">
      <alignment wrapText="1"/>
    </xf>
    <xf numFmtId="0" fontId="9" fillId="0" borderId="2" xfId="0" applyFont="1" applyBorder="1" applyAlignment="1">
      <alignment horizontal="left" wrapText="1"/>
    </xf>
    <xf numFmtId="1" fontId="3" fillId="5" borderId="2" xfId="4" applyNumberFormat="1" applyBorder="1" applyAlignment="1">
      <alignment horizontal="right" wrapText="1"/>
    </xf>
    <xf numFmtId="1" fontId="9" fillId="0" borderId="2" xfId="0" applyNumberFormat="1" applyFont="1" applyBorder="1" applyAlignment="1">
      <alignment horizontal="right" wrapText="1"/>
    </xf>
    <xf numFmtId="1" fontId="3" fillId="5" borderId="2" xfId="4" applyNumberForma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1" fontId="7" fillId="2" borderId="2" xfId="1" applyNumberFormat="1" applyBorder="1"/>
    <xf numFmtId="0" fontId="1" fillId="3" borderId="0" xfId="2" applyAlignment="1">
      <alignment horizontal="left"/>
    </xf>
    <xf numFmtId="0" fontId="1" fillId="3" borderId="0" xfId="2"/>
    <xf numFmtId="0" fontId="7" fillId="0" borderId="5" xfId="0" applyFont="1" applyBorder="1" applyAlignment="1">
      <alignment wrapText="1"/>
    </xf>
    <xf numFmtId="0" fontId="1" fillId="3" borderId="2" xfId="2" applyBorder="1" applyAlignment="1">
      <alignment wrapText="1"/>
    </xf>
    <xf numFmtId="0" fontId="7" fillId="0" borderId="8" xfId="0" applyFont="1" applyBorder="1"/>
    <xf numFmtId="0" fontId="7" fillId="6" borderId="2" xfId="0" applyFont="1" applyFill="1" applyBorder="1"/>
    <xf numFmtId="1" fontId="7" fillId="0" borderId="2" xfId="0" applyNumberFormat="1" applyFont="1" applyBorder="1"/>
    <xf numFmtId="2" fontId="7" fillId="0" borderId="18" xfId="0" applyNumberFormat="1" applyFont="1" applyBorder="1"/>
    <xf numFmtId="1" fontId="7" fillId="0" borderId="18" xfId="0" applyNumberFormat="1" applyFont="1" applyBorder="1"/>
    <xf numFmtId="0" fontId="7" fillId="0" borderId="18" xfId="0" applyFont="1" applyBorder="1" applyAlignment="1">
      <alignment wrapText="1"/>
    </xf>
    <xf numFmtId="0" fontId="7" fillId="0" borderId="18" xfId="0" applyFont="1" applyBorder="1"/>
    <xf numFmtId="1" fontId="2" fillId="4" borderId="19" xfId="3" applyNumberFormat="1" applyBorder="1"/>
    <xf numFmtId="0" fontId="7" fillId="0" borderId="17" xfId="0" applyFont="1" applyBorder="1" applyAlignment="1">
      <alignment wrapText="1"/>
    </xf>
    <xf numFmtId="0" fontId="7" fillId="2" borderId="12" xfId="1" applyBorder="1"/>
    <xf numFmtId="0" fontId="9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12" fillId="0" borderId="7" xfId="0" applyFont="1" applyBorder="1" applyAlignment="1">
      <alignment wrapText="1"/>
    </xf>
    <xf numFmtId="1" fontId="11" fillId="0" borderId="8" xfId="0" applyNumberFormat="1" applyFont="1" applyBorder="1"/>
    <xf numFmtId="1" fontId="11" fillId="0" borderId="23" xfId="0" applyNumberFormat="1" applyFont="1" applyBorder="1"/>
    <xf numFmtId="1" fontId="1" fillId="3" borderId="24" xfId="2" applyNumberFormat="1" applyBorder="1"/>
    <xf numFmtId="0" fontId="5" fillId="0" borderId="25" xfId="0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7" fillId="0" borderId="27" xfId="0" applyFont="1" applyBorder="1"/>
    <xf numFmtId="0" fontId="7" fillId="0" borderId="28" xfId="0" applyFont="1" applyBorder="1" applyAlignment="1">
      <alignment wrapText="1"/>
    </xf>
    <xf numFmtId="0" fontId="0" fillId="0" borderId="29" xfId="0" applyBorder="1"/>
    <xf numFmtId="0" fontId="2" fillId="4" borderId="30" xfId="3" applyBorder="1"/>
    <xf numFmtId="1" fontId="1" fillId="3" borderId="0" xfId="2" applyNumberFormat="1" applyBorder="1"/>
    <xf numFmtId="0" fontId="7" fillId="0" borderId="31" xfId="0" applyFont="1" applyBorder="1" applyAlignment="1">
      <alignment wrapText="1"/>
    </xf>
    <xf numFmtId="0" fontId="7" fillId="6" borderId="32" xfId="0" applyFont="1" applyFill="1" applyBorder="1"/>
    <xf numFmtId="1" fontId="1" fillId="3" borderId="32" xfId="2" applyNumberFormat="1" applyBorder="1"/>
    <xf numFmtId="1" fontId="7" fillId="0" borderId="32" xfId="0" applyNumberFormat="1" applyFont="1" applyBorder="1"/>
    <xf numFmtId="1" fontId="11" fillId="0" borderId="33" xfId="0" applyNumberFormat="1" applyFont="1" applyBorder="1"/>
    <xf numFmtId="1" fontId="11" fillId="0" borderId="2" xfId="0" applyNumberFormat="1" applyFont="1" applyBorder="1"/>
    <xf numFmtId="0" fontId="7" fillId="0" borderId="0" xfId="0" applyFont="1"/>
    <xf numFmtId="0" fontId="5" fillId="0" borderId="0" xfId="0" applyFont="1"/>
    <xf numFmtId="0" fontId="7" fillId="0" borderId="0" xfId="0" applyFont="1"/>
    <xf numFmtId="0" fontId="7" fillId="7" borderId="0" xfId="1" applyFill="1" applyAlignment="1">
      <alignment horizontal="left" vertical="top" wrapText="1"/>
    </xf>
    <xf numFmtId="0" fontId="1" fillId="3" borderId="2" xfId="2" applyBorder="1" applyAlignment="1">
      <alignment horizontal="left" vertical="top" wrapText="1"/>
    </xf>
    <xf numFmtId="0" fontId="4" fillId="5" borderId="0" xfId="4" applyFont="1" applyAlignment="1">
      <alignment horizontal="center"/>
    </xf>
    <xf numFmtId="0" fontId="3" fillId="5" borderId="0" xfId="4" applyAlignment="1">
      <alignment horizontal="center"/>
    </xf>
    <xf numFmtId="0" fontId="12" fillId="0" borderId="1" xfId="0" applyFont="1" applyBorder="1" applyAlignment="1">
      <alignment horizontal="center" wrapText="1"/>
    </xf>
    <xf numFmtId="0" fontId="1" fillId="3" borderId="3" xfId="2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10" fillId="4" borderId="0" xfId="3" applyFont="1" applyAlignment="1">
      <alignment horizontal="center"/>
    </xf>
    <xf numFmtId="0" fontId="7" fillId="8" borderId="0" xfId="0" applyFont="1" applyFill="1"/>
    <xf numFmtId="0" fontId="7" fillId="8" borderId="0" xfId="0" applyFont="1" applyFill="1" applyAlignment="1">
      <alignment horizontal="left" vertical="center"/>
    </xf>
  </cellXfs>
  <cellStyles count="5">
    <cellStyle name="40% — акцент5" xfId="1" builtinId="47"/>
    <cellStyle name="Нейтральный" xfId="2" builtinId="28"/>
    <cellStyle name="Обычный" xfId="0" builtinId="0"/>
    <cellStyle name="Плохой" xfId="3" builtinId="27"/>
    <cellStyle name="Хороший" xfId="4" builtinId="26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4B6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c={50E778BB-5AA0-86AC-C87E-35580F875033}" id="{7925F4E6-D03A-A7B8-2004-FBD7A57226C6}"/>
  <person displayName="tc={01F9FFB9-1722-D8A5-B513-68957C289289}" id="{4395408D-706C-73F1-5B58-E8A0FE96C259}"/>
  <person displayName="tc={96C1BB7A-B8A1-6BAE-52FC-D9A58B44952B}" id="{A3FEB9F8-8C06-D5DC-B045-682B89CCFE48}"/>
  <person displayName="tc={6D6DC9E7-BF65-6800-52C4-E690172E6622}" id="{13E2295C-293E-5CB7-34D8-A882E7BF167B}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43" personId="{4395408D-706C-73F1-5B58-E8A0FE96C259}" id="{001F006A-00D9-4C80-8221-00D900EA00CE}" done="0">
    <text xml:space="preserve">Василий Попов:
OpenSearch на Астра линукс требует 6vcpu / 16ram для комфортной работы
</text>
  </threadedComment>
  <threadedComment ref="A45" personId="{A3FEB9F8-8C06-D5DC-B045-682B89CCFE48}" id="{009F0085-007D-40D5-8402-005A0030002A}" done="0">
    <text xml:space="preserve">Василий Попов:
consul, redis, minio, postgre, kafka, cassandra
</text>
  </threadedComment>
  <threadedComment ref="A46" personId="{13E2295C-293E-5CB7-34D8-A882E7BF167B}" id="{005D0008-00C0-4947-B0F2-0005003B003F}" done="0">
    <text xml:space="preserve">Василий Попов:
S3 (minio)
https://developer.harness.io/docs/self-managed-enterprise-edition/advanced-configurations/external-db/use-self-managed-minio-object-storage/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1"/>
  <sheetViews>
    <sheetView tabSelected="1" zoomScale="86" workbookViewId="0">
      <selection activeCell="B2" sqref="B2"/>
    </sheetView>
  </sheetViews>
  <sheetFormatPr defaultColWidth="11" defaultRowHeight="15.6" x14ac:dyDescent="0.3"/>
  <cols>
    <col min="1" max="1" width="15.8984375" style="13" customWidth="1"/>
    <col min="2" max="2" width="16.8984375" style="13" customWidth="1"/>
    <col min="3" max="3" width="20.59765625" style="13" customWidth="1"/>
    <col min="4" max="4" width="14.09765625" style="13" customWidth="1"/>
    <col min="5" max="5" width="15.3984375" style="13" customWidth="1"/>
    <col min="6" max="6" width="12.3984375" style="13" customWidth="1"/>
    <col min="7" max="7" width="19.09765625" style="13" customWidth="1"/>
    <col min="8" max="8" width="15.3984375" style="13" customWidth="1"/>
    <col min="9" max="9" width="16.8984375" style="13" customWidth="1"/>
    <col min="10" max="10" width="14.3984375" style="13" customWidth="1"/>
    <col min="11" max="11" width="27.3984375" style="13" customWidth="1"/>
    <col min="12" max="12" width="18.3984375" style="13" customWidth="1"/>
    <col min="13" max="13" width="21.5" style="13" customWidth="1"/>
    <col min="14" max="14" width="16.59765625" style="13" customWidth="1"/>
    <col min="15" max="15" width="20.8984375" style="13" customWidth="1"/>
    <col min="16" max="16" width="18.59765625" style="13" customWidth="1"/>
    <col min="17" max="16384" width="11" style="13"/>
  </cols>
  <sheetData>
    <row r="1" spans="1:16" x14ac:dyDescent="0.3">
      <c r="A1" s="75" t="s">
        <v>0</v>
      </c>
      <c r="B1" s="76"/>
      <c r="C1" s="76"/>
      <c r="D1" s="81" t="s">
        <v>67</v>
      </c>
      <c r="E1" s="81"/>
      <c r="F1" s="81"/>
      <c r="H1" s="70"/>
      <c r="I1" s="14"/>
      <c r="J1" s="14"/>
      <c r="K1" s="8"/>
    </row>
    <row r="2" spans="1:16" ht="26.1" customHeight="1" x14ac:dyDescent="0.3">
      <c r="A2" s="83" t="s">
        <v>89</v>
      </c>
      <c r="B2" s="82"/>
      <c r="I2" s="14"/>
      <c r="J2" s="14"/>
      <c r="K2" s="8"/>
    </row>
    <row r="3" spans="1:16" ht="23.1" customHeight="1" x14ac:dyDescent="0.3">
      <c r="A3" s="79" t="s">
        <v>57</v>
      </c>
      <c r="B3" s="80"/>
      <c r="C3" s="16" t="s">
        <v>61</v>
      </c>
      <c r="D3" s="16" t="s">
        <v>62</v>
      </c>
    </row>
    <row r="4" spans="1:16" ht="15.9" customHeight="1" x14ac:dyDescent="0.3">
      <c r="A4" s="79"/>
      <c r="B4" s="80"/>
      <c r="C4" s="15" t="s">
        <v>58</v>
      </c>
      <c r="D4" s="23">
        <v>0</v>
      </c>
    </row>
    <row r="5" spans="1:16" ht="15.9" customHeight="1" x14ac:dyDescent="0.3">
      <c r="A5" s="79"/>
      <c r="B5" s="80"/>
      <c r="C5" s="15" t="s">
        <v>59</v>
      </c>
      <c r="D5" s="23">
        <v>0</v>
      </c>
    </row>
    <row r="6" spans="1:16" x14ac:dyDescent="0.3">
      <c r="A6" s="79"/>
      <c r="B6" s="80"/>
      <c r="C6" s="15" t="s">
        <v>51</v>
      </c>
      <c r="D6" s="23">
        <v>0</v>
      </c>
    </row>
    <row r="7" spans="1:16" x14ac:dyDescent="0.3">
      <c r="A7" s="79"/>
      <c r="B7" s="80"/>
      <c r="C7" s="15" t="s">
        <v>60</v>
      </c>
      <c r="D7" s="23">
        <v>0</v>
      </c>
    </row>
    <row r="8" spans="1:16" x14ac:dyDescent="0.3">
      <c r="C8" s="15" t="s">
        <v>66</v>
      </c>
      <c r="D8" s="23">
        <v>0</v>
      </c>
    </row>
    <row r="9" spans="1:16" x14ac:dyDescent="0.3">
      <c r="C9" s="15" t="s">
        <v>84</v>
      </c>
      <c r="D9" s="23">
        <v>0</v>
      </c>
    </row>
    <row r="11" spans="1:16" ht="202.8" x14ac:dyDescent="0.3">
      <c r="A11" s="24" t="s">
        <v>36</v>
      </c>
      <c r="B11" s="25">
        <v>0</v>
      </c>
      <c r="C11" s="7" t="s">
        <v>63</v>
      </c>
      <c r="D11" s="26">
        <v>0</v>
      </c>
      <c r="E11" s="8" t="s">
        <v>80</v>
      </c>
      <c r="F11" s="27">
        <v>0</v>
      </c>
      <c r="G11" s="8" t="s">
        <v>50</v>
      </c>
      <c r="H11" s="26">
        <v>0</v>
      </c>
      <c r="I11" s="8" t="s">
        <v>1</v>
      </c>
      <c r="J11" s="27">
        <v>0</v>
      </c>
      <c r="K11" s="7" t="s">
        <v>2</v>
      </c>
      <c r="L11" s="27">
        <v>0</v>
      </c>
      <c r="M11" s="7" t="s">
        <v>64</v>
      </c>
      <c r="N11" s="28">
        <v>365</v>
      </c>
      <c r="O11" s="7" t="s">
        <v>88</v>
      </c>
      <c r="P11" s="28">
        <v>0</v>
      </c>
    </row>
    <row r="15" spans="1:16" x14ac:dyDescent="0.3">
      <c r="A15" s="8"/>
      <c r="B15" s="14"/>
      <c r="C15" s="14"/>
      <c r="D15" s="14"/>
      <c r="E15" s="14"/>
      <c r="F15" s="14"/>
      <c r="G15" s="14"/>
      <c r="H15" s="14"/>
      <c r="I15" s="14"/>
      <c r="J15" s="14"/>
      <c r="K15" s="8"/>
    </row>
    <row r="16" spans="1:16" ht="15.9" customHeight="1" x14ac:dyDescent="0.3">
      <c r="A16" s="77" t="s">
        <v>3</v>
      </c>
      <c r="B16" s="77"/>
      <c r="C16" s="77"/>
      <c r="D16" s="77"/>
      <c r="E16" s="77"/>
      <c r="F16" s="77"/>
      <c r="G16" s="77"/>
      <c r="H16" s="77"/>
      <c r="I16" s="77"/>
      <c r="J16" s="14"/>
      <c r="K16" s="8"/>
    </row>
    <row r="17" spans="1:15" ht="204" customHeight="1" x14ac:dyDescent="0.3">
      <c r="A17" s="29" t="s">
        <v>4</v>
      </c>
      <c r="B17" s="30" t="s">
        <v>5</v>
      </c>
      <c r="C17" s="30" t="s">
        <v>6</v>
      </c>
      <c r="D17" s="30" t="s">
        <v>7</v>
      </c>
      <c r="E17" s="30" t="s">
        <v>53</v>
      </c>
      <c r="F17" s="30" t="s">
        <v>8</v>
      </c>
      <c r="G17" s="30" t="s">
        <v>52</v>
      </c>
      <c r="H17" s="30" t="s">
        <v>54</v>
      </c>
      <c r="I17" s="30" t="s">
        <v>9</v>
      </c>
      <c r="J17" s="30" t="s">
        <v>55</v>
      </c>
      <c r="K17" s="78" t="s">
        <v>48</v>
      </c>
    </row>
    <row r="18" spans="1:15" x14ac:dyDescent="0.3">
      <c r="A18" s="15" t="s">
        <v>10</v>
      </c>
      <c r="B18" s="31">
        <v>40</v>
      </c>
      <c r="C18" s="32">
        <f>$B$11*B18/100</f>
        <v>0</v>
      </c>
      <c r="D18" s="33">
        <v>2</v>
      </c>
      <c r="E18" s="33">
        <v>2</v>
      </c>
      <c r="F18" s="32">
        <f t="shared" ref="F18:F20" si="0">ROUNDUP(C18/D18*E18,0)</f>
        <v>0</v>
      </c>
      <c r="G18" s="33">
        <v>10</v>
      </c>
      <c r="H18" s="33">
        <v>60</v>
      </c>
      <c r="I18" s="32">
        <f t="shared" ref="I18:I20" si="1">ROUNDUP(C18/D18,0)</f>
        <v>0</v>
      </c>
      <c r="J18" s="31">
        <v>1</v>
      </c>
      <c r="K18" s="78"/>
    </row>
    <row r="19" spans="1:15" x14ac:dyDescent="0.3">
      <c r="A19" s="15" t="s">
        <v>11</v>
      </c>
      <c r="B19" s="31">
        <v>32</v>
      </c>
      <c r="C19" s="32">
        <f>$B$11*B19/100</f>
        <v>0</v>
      </c>
      <c r="D19" s="33">
        <v>4</v>
      </c>
      <c r="E19" s="33">
        <v>3</v>
      </c>
      <c r="F19" s="32">
        <f t="shared" si="0"/>
        <v>0</v>
      </c>
      <c r="G19" s="33">
        <v>10</v>
      </c>
      <c r="H19" s="33">
        <v>60</v>
      </c>
      <c r="I19" s="32">
        <f t="shared" si="1"/>
        <v>0</v>
      </c>
      <c r="J19" s="31">
        <v>2</v>
      </c>
      <c r="K19" s="78"/>
    </row>
    <row r="20" spans="1:15" x14ac:dyDescent="0.3">
      <c r="A20" s="15" t="s">
        <v>12</v>
      </c>
      <c r="B20" s="31">
        <v>16</v>
      </c>
      <c r="C20" s="32">
        <f>$B$11*B20/100</f>
        <v>0</v>
      </c>
      <c r="D20" s="33">
        <v>8</v>
      </c>
      <c r="E20" s="33">
        <v>4</v>
      </c>
      <c r="F20" s="32">
        <f t="shared" si="0"/>
        <v>0</v>
      </c>
      <c r="G20" s="33">
        <v>10</v>
      </c>
      <c r="H20" s="33">
        <v>60</v>
      </c>
      <c r="I20" s="32">
        <f t="shared" si="1"/>
        <v>0</v>
      </c>
      <c r="J20" s="31">
        <v>3</v>
      </c>
      <c r="K20" s="78"/>
    </row>
    <row r="21" spans="1:15" x14ac:dyDescent="0.3">
      <c r="A21" s="15" t="s">
        <v>13</v>
      </c>
      <c r="B21" s="31">
        <v>10</v>
      </c>
      <c r="C21" s="32">
        <f>$B$11*B21/100</f>
        <v>0</v>
      </c>
      <c r="D21" s="33">
        <v>20</v>
      </c>
      <c r="E21" s="33">
        <v>4</v>
      </c>
      <c r="F21" s="32">
        <f>ROUNDUP(C21/D21*E21,0)</f>
        <v>0</v>
      </c>
      <c r="G21" s="33">
        <v>10</v>
      </c>
      <c r="H21" s="33">
        <v>60</v>
      </c>
      <c r="I21" s="32">
        <f>ROUNDUP(C21/D21,0)</f>
        <v>0</v>
      </c>
      <c r="J21" s="31">
        <v>5</v>
      </c>
      <c r="K21" s="78"/>
    </row>
    <row r="22" spans="1:15" x14ac:dyDescent="0.3">
      <c r="A22" s="15" t="s">
        <v>14</v>
      </c>
      <c r="B22" s="31">
        <v>2</v>
      </c>
      <c r="C22" s="32">
        <f>$B$11*B22/100</f>
        <v>0</v>
      </c>
      <c r="D22" s="33">
        <v>50</v>
      </c>
      <c r="E22" s="33">
        <v>3</v>
      </c>
      <c r="F22" s="32">
        <f>ROUNDUP(C22/D22*E22,0)</f>
        <v>0</v>
      </c>
      <c r="G22" s="33">
        <v>10</v>
      </c>
      <c r="H22" s="33">
        <v>70</v>
      </c>
      <c r="I22" s="32">
        <f>ROUNDUP(C22/D22,0)</f>
        <v>0</v>
      </c>
      <c r="J22" s="31">
        <v>7</v>
      </c>
      <c r="K22" s="78"/>
    </row>
    <row r="23" spans="1:15" x14ac:dyDescent="0.3">
      <c r="A23" s="30" t="s">
        <v>15</v>
      </c>
      <c r="B23" s="32">
        <f>SUM(B18:B22)</f>
        <v>100</v>
      </c>
      <c r="C23" s="32">
        <f>SUM(C18:C22)</f>
        <v>0</v>
      </c>
      <c r="D23" s="34"/>
      <c r="E23" s="34"/>
      <c r="F23" s="32">
        <f>SUM(F18:F22)</f>
        <v>0</v>
      </c>
      <c r="G23" s="32">
        <f>ROUNDUP(C18*G18/100+C19*G19/100+C20*G20/100+C21*G21/100+C22*G22/100,0)</f>
        <v>0</v>
      </c>
      <c r="H23" s="32">
        <f>ROUNDUP(C18*H18/100+C19*H19/100+C20*H20/100+C21*H21/100,0)</f>
        <v>0</v>
      </c>
      <c r="I23" s="32">
        <f>SUM(I18:I22)</f>
        <v>0</v>
      </c>
      <c r="J23" s="35">
        <f>IF(ROUNDUP(I18*J18/100+I19*J19/100+I20*J20/100+I21*J21/100+I22*J22/100,0)&lt;3,3,ROUNDUP(I18*J18/100+I19*J19/100+I20*J20/100+I21*J21/100+I22*J22/100,0))</f>
        <v>3</v>
      </c>
      <c r="K23" s="78"/>
    </row>
    <row r="24" spans="1:15" ht="15.9" customHeight="1" x14ac:dyDescent="0.3">
      <c r="A24" s="7"/>
      <c r="J24" s="73" t="s">
        <v>85</v>
      </c>
      <c r="K24" s="73"/>
      <c r="L24" s="73"/>
      <c r="M24" s="73"/>
      <c r="N24" s="73"/>
      <c r="O24" s="73"/>
    </row>
    <row r="25" spans="1:15" x14ac:dyDescent="0.3">
      <c r="J25" s="73"/>
      <c r="K25" s="73"/>
      <c r="L25" s="73"/>
      <c r="M25" s="73"/>
      <c r="N25" s="73"/>
      <c r="O25" s="73"/>
    </row>
    <row r="26" spans="1:15" ht="39" customHeight="1" x14ac:dyDescent="0.3">
      <c r="J26" s="73"/>
      <c r="K26" s="73"/>
      <c r="L26" s="73"/>
      <c r="M26" s="73"/>
      <c r="N26" s="73"/>
      <c r="O26" s="73"/>
    </row>
    <row r="27" spans="1:15" x14ac:dyDescent="0.3">
      <c r="A27" s="36" t="s">
        <v>65</v>
      </c>
      <c r="B27" s="36"/>
      <c r="C27" s="36"/>
      <c r="D27" s="36"/>
      <c r="E27" s="36"/>
      <c r="F27" s="36"/>
      <c r="G27" s="36"/>
      <c r="H27" s="36"/>
      <c r="I27" s="36"/>
      <c r="J27" s="36"/>
      <c r="K27" s="37"/>
      <c r="L27" s="37"/>
      <c r="M27" s="37"/>
      <c r="N27" s="37"/>
      <c r="O27" s="37"/>
    </row>
    <row r="28" spans="1:15" x14ac:dyDescent="0.3">
      <c r="A28" s="28" t="s">
        <v>16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1:15" x14ac:dyDescent="0.3">
      <c r="A29" s="37" t="s">
        <v>49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1:15" x14ac:dyDescent="0.3">
      <c r="A30" s="37" t="s">
        <v>79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  <row r="31" spans="1:15" x14ac:dyDescent="0.3">
      <c r="A31" s="36" t="s">
        <v>86</v>
      </c>
      <c r="B31" s="36"/>
      <c r="C31" s="36"/>
      <c r="D31" s="36"/>
      <c r="E31" s="36"/>
      <c r="F31" s="36"/>
      <c r="G31" s="36"/>
      <c r="H31" s="36"/>
      <c r="I31" s="36"/>
      <c r="J31" s="36"/>
      <c r="K31" s="37"/>
      <c r="L31" s="37"/>
      <c r="M31" s="37"/>
      <c r="N31" s="37"/>
      <c r="O31" s="37"/>
    </row>
    <row r="32" spans="1:15" x14ac:dyDescent="0.3">
      <c r="A32" s="37" t="s">
        <v>37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1:16" x14ac:dyDescent="0.3">
      <c r="A33" s="37" t="s">
        <v>17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  <row r="34" spans="1:16" ht="16.2" thickBot="1" x14ac:dyDescent="0.3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6" ht="31.2" x14ac:dyDescent="0.3">
      <c r="A35" s="50"/>
      <c r="B35" s="38"/>
      <c r="C35" s="51" t="s">
        <v>38</v>
      </c>
      <c r="D35" s="51" t="s">
        <v>18</v>
      </c>
      <c r="E35" s="51" t="s">
        <v>19</v>
      </c>
      <c r="F35" s="51" t="s">
        <v>20</v>
      </c>
      <c r="G35" s="51" t="s">
        <v>21</v>
      </c>
      <c r="H35" s="51" t="s">
        <v>22</v>
      </c>
      <c r="I35" s="51" t="s">
        <v>23</v>
      </c>
      <c r="J35" s="52" t="s">
        <v>24</v>
      </c>
    </row>
    <row r="36" spans="1:16" ht="117.75" customHeight="1" x14ac:dyDescent="0.3">
      <c r="A36" s="53" t="s">
        <v>25</v>
      </c>
      <c r="B36" s="15"/>
      <c r="C36" s="15"/>
      <c r="D36" s="74" t="s">
        <v>87</v>
      </c>
      <c r="E36" s="74"/>
      <c r="F36" s="39" t="s">
        <v>47</v>
      </c>
      <c r="G36" s="15"/>
      <c r="H36" s="15"/>
      <c r="I36" s="15"/>
      <c r="J36" s="40"/>
      <c r="K36" s="10" t="s">
        <v>41</v>
      </c>
      <c r="L36" s="11" t="s">
        <v>39</v>
      </c>
      <c r="M36" s="11" t="s">
        <v>40</v>
      </c>
      <c r="N36" s="11" t="s">
        <v>45</v>
      </c>
      <c r="O36" s="11" t="s">
        <v>44</v>
      </c>
      <c r="P36" s="12" t="s">
        <v>56</v>
      </c>
    </row>
    <row r="37" spans="1:16" x14ac:dyDescent="0.3">
      <c r="A37" s="6" t="s">
        <v>71</v>
      </c>
      <c r="B37" s="41" t="s">
        <v>81</v>
      </c>
      <c r="C37" s="1">
        <f>IF(OR(D$4&gt;0,D$6&gt;0),ROUNDUP(P37/16,0),0)</f>
        <v>0</v>
      </c>
      <c r="D37" s="15" t="e">
        <f t="shared" ref="D37:D43" si="2">MROUND(ROUNDUP(P37/C37,0),2)</f>
        <v>#DIV/0!</v>
      </c>
      <c r="E37" s="15" t="e">
        <f>D37*2</f>
        <v>#DIV/0!</v>
      </c>
      <c r="F37" s="1">
        <v>50</v>
      </c>
      <c r="G37" s="42"/>
      <c r="H37" s="42">
        <f>IF(C37=0,0,C37*D37)</f>
        <v>0</v>
      </c>
      <c r="I37" s="42">
        <f>IF(C37=0,0,E37*C37)</f>
        <v>0</v>
      </c>
      <c r="J37" s="54">
        <f t="shared" ref="J37:J48" si="3">F37*C37</f>
        <v>0</v>
      </c>
      <c r="K37" s="48" t="s">
        <v>78</v>
      </c>
      <c r="L37" s="43">
        <f>B11</f>
        <v>0</v>
      </c>
      <c r="M37" s="44">
        <f>ROUNDUP(L37/500,0)</f>
        <v>0</v>
      </c>
      <c r="N37" s="45"/>
      <c r="O37" s="46"/>
      <c r="P37" s="47">
        <f>M37</f>
        <v>0</v>
      </c>
    </row>
    <row r="38" spans="1:16" x14ac:dyDescent="0.3">
      <c r="A38" s="6" t="s">
        <v>26</v>
      </c>
      <c r="B38" s="41" t="s">
        <v>81</v>
      </c>
      <c r="C38" s="1">
        <f>IF(B11&gt;0,ROUNDUP(P38/16,0),0)</f>
        <v>0</v>
      </c>
      <c r="D38" s="15" t="e">
        <f t="shared" si="2"/>
        <v>#DIV/0!</v>
      </c>
      <c r="E38" s="15" t="e">
        <f t="shared" ref="E38:E47" si="4">D38*2</f>
        <v>#DIV/0!</v>
      </c>
      <c r="F38" s="1">
        <v>50</v>
      </c>
      <c r="G38" s="42"/>
      <c r="H38" s="42">
        <f t="shared" ref="H38:H47" si="5">IF(C38=0,0,C38*D38)</f>
        <v>0</v>
      </c>
      <c r="I38" s="42">
        <f t="shared" ref="I38:I50" si="6">IF(C38=0,0,E38*C38)</f>
        <v>0</v>
      </c>
      <c r="J38" s="54">
        <f t="shared" si="3"/>
        <v>0</v>
      </c>
      <c r="K38" s="48" t="s">
        <v>27</v>
      </c>
      <c r="L38" s="43">
        <f>F23*3+G23+H23</f>
        <v>0</v>
      </c>
      <c r="M38" s="44">
        <f>ROUNDUP(L38/100,0)</f>
        <v>0</v>
      </c>
      <c r="N38" s="45"/>
      <c r="O38" s="46"/>
      <c r="P38" s="47">
        <f>M38</f>
        <v>0</v>
      </c>
    </row>
    <row r="39" spans="1:16" x14ac:dyDescent="0.3">
      <c r="A39" s="6" t="s">
        <v>33</v>
      </c>
      <c r="B39" s="41" t="s">
        <v>81</v>
      </c>
      <c r="C39" s="1">
        <f>IF(D11&gt;0,ROUNDUP(P39/16,0),0)</f>
        <v>0</v>
      </c>
      <c r="D39" s="15" t="e">
        <f t="shared" si="2"/>
        <v>#DIV/0!</v>
      </c>
      <c r="E39" s="15" t="e">
        <f t="shared" si="4"/>
        <v>#DIV/0!</v>
      </c>
      <c r="F39" s="1">
        <v>50</v>
      </c>
      <c r="G39" s="42">
        <f>3*L39</f>
        <v>0</v>
      </c>
      <c r="H39" s="42">
        <f t="shared" si="5"/>
        <v>0</v>
      </c>
      <c r="I39" s="42">
        <f t="shared" si="6"/>
        <v>0</v>
      </c>
      <c r="J39" s="54">
        <f t="shared" si="3"/>
        <v>0</v>
      </c>
      <c r="K39" s="48" t="s">
        <v>42</v>
      </c>
      <c r="L39" s="43">
        <f>D11</f>
        <v>0</v>
      </c>
      <c r="M39" s="44">
        <f>ROUNDUP(L39/1000*4,0)</f>
        <v>0</v>
      </c>
      <c r="N39" s="46"/>
      <c r="O39" s="46"/>
      <c r="P39" s="47">
        <f>M39</f>
        <v>0</v>
      </c>
    </row>
    <row r="40" spans="1:16" ht="109.2" x14ac:dyDescent="0.3">
      <c r="A40" s="6" t="s">
        <v>34</v>
      </c>
      <c r="B40" s="15"/>
      <c r="C40" s="1">
        <f>IF(D5&gt;0,ROUNDUP(P40/16,0),0)</f>
        <v>0</v>
      </c>
      <c r="D40" s="15" t="e">
        <f t="shared" si="2"/>
        <v>#DIV/0!</v>
      </c>
      <c r="E40" s="15" t="e">
        <f t="shared" si="4"/>
        <v>#DIV/0!</v>
      </c>
      <c r="F40" s="1">
        <v>100</v>
      </c>
      <c r="G40" s="42"/>
      <c r="H40" s="42">
        <f t="shared" si="5"/>
        <v>0</v>
      </c>
      <c r="I40" s="42">
        <f t="shared" si="6"/>
        <v>0</v>
      </c>
      <c r="J40" s="54">
        <f t="shared" si="3"/>
        <v>0</v>
      </c>
      <c r="K40" s="48" t="s">
        <v>46</v>
      </c>
      <c r="L40" s="43">
        <f>J23</f>
        <v>3</v>
      </c>
      <c r="M40" s="44">
        <f>ROUNDUP(L40*2,0)</f>
        <v>6</v>
      </c>
      <c r="N40" s="44">
        <f>F11</f>
        <v>0</v>
      </c>
      <c r="O40" s="46">
        <f>ROUNDUP(N40/24*4,0)</f>
        <v>0</v>
      </c>
      <c r="P40" s="47">
        <f>M40+O40</f>
        <v>6</v>
      </c>
    </row>
    <row r="41" spans="1:16" x14ac:dyDescent="0.3">
      <c r="A41" s="6" t="s">
        <v>28</v>
      </c>
      <c r="B41" s="41" t="s">
        <v>81</v>
      </c>
      <c r="C41" s="1">
        <f>IF(D$6&gt;0,ROUNDUP(P41/16,0),0)</f>
        <v>0</v>
      </c>
      <c r="D41" s="15" t="e">
        <f t="shared" si="2"/>
        <v>#DIV/0!</v>
      </c>
      <c r="E41" s="15" t="e">
        <f t="shared" si="4"/>
        <v>#DIV/0!</v>
      </c>
      <c r="F41" s="1">
        <v>50</v>
      </c>
      <c r="G41" s="42"/>
      <c r="H41" s="42">
        <f t="shared" si="5"/>
        <v>0</v>
      </c>
      <c r="I41" s="42">
        <f t="shared" si="6"/>
        <v>0</v>
      </c>
      <c r="J41" s="54">
        <f t="shared" si="3"/>
        <v>0</v>
      </c>
      <c r="K41" s="48" t="s">
        <v>29</v>
      </c>
      <c r="L41" s="43">
        <f>H11</f>
        <v>0</v>
      </c>
      <c r="M41" s="44">
        <f>ROUNDUP(L41/6,0)</f>
        <v>0</v>
      </c>
      <c r="N41" s="46"/>
      <c r="O41" s="46"/>
      <c r="P41" s="47">
        <f>M41</f>
        <v>0</v>
      </c>
    </row>
    <row r="42" spans="1:16" x14ac:dyDescent="0.3">
      <c r="A42" s="6" t="s">
        <v>30</v>
      </c>
      <c r="B42" s="41" t="s">
        <v>81</v>
      </c>
      <c r="C42" s="1">
        <f>IF(D$6&gt;0,ROUNDUP(P42/16,0),0)</f>
        <v>0</v>
      </c>
      <c r="D42" s="15" t="e">
        <f t="shared" si="2"/>
        <v>#DIV/0!</v>
      </c>
      <c r="E42" s="15" t="e">
        <f t="shared" si="4"/>
        <v>#DIV/0!</v>
      </c>
      <c r="F42" s="1">
        <v>50</v>
      </c>
      <c r="G42" s="42"/>
      <c r="H42" s="42">
        <f t="shared" si="5"/>
        <v>0</v>
      </c>
      <c r="I42" s="42">
        <f t="shared" si="6"/>
        <v>0</v>
      </c>
      <c r="J42" s="54">
        <f t="shared" si="3"/>
        <v>0</v>
      </c>
      <c r="K42" s="48" t="s">
        <v>31</v>
      </c>
      <c r="L42" s="43">
        <f>H11</f>
        <v>0</v>
      </c>
      <c r="M42" s="44">
        <f>ROUNDUP(L42*1.5,0)</f>
        <v>0</v>
      </c>
      <c r="N42" s="46"/>
      <c r="O42" s="46"/>
      <c r="P42" s="47">
        <f>M42</f>
        <v>0</v>
      </c>
    </row>
    <row r="43" spans="1:16" x14ac:dyDescent="0.3">
      <c r="A43" s="6" t="s">
        <v>32</v>
      </c>
      <c r="B43" s="41" t="s">
        <v>81</v>
      </c>
      <c r="C43" s="1">
        <f>IF(D$6&gt;0,ROUNDUP(P43/16,0),0)</f>
        <v>0</v>
      </c>
      <c r="D43" s="15" t="e">
        <f t="shared" si="2"/>
        <v>#DIV/0!</v>
      </c>
      <c r="E43" s="15" t="e">
        <f t="shared" si="4"/>
        <v>#DIV/0!</v>
      </c>
      <c r="F43" s="1">
        <v>50</v>
      </c>
      <c r="G43" s="42"/>
      <c r="H43" s="42">
        <f t="shared" si="5"/>
        <v>0</v>
      </c>
      <c r="I43" s="42">
        <f t="shared" si="6"/>
        <v>0</v>
      </c>
      <c r="J43" s="54">
        <f t="shared" si="3"/>
        <v>0</v>
      </c>
      <c r="K43" s="48" t="s">
        <v>43</v>
      </c>
      <c r="L43" s="43">
        <f>H11</f>
        <v>0</v>
      </c>
      <c r="M43" s="44">
        <f>ROUNDUP(L43*0.5,0)</f>
        <v>0</v>
      </c>
      <c r="N43" s="46"/>
      <c r="O43" s="46"/>
      <c r="P43" s="47">
        <f>M43</f>
        <v>0</v>
      </c>
    </row>
    <row r="44" spans="1:16" ht="78" x14ac:dyDescent="0.3">
      <c r="A44" s="9" t="s">
        <v>68</v>
      </c>
      <c r="B44" s="15"/>
      <c r="C44" s="1">
        <f>IF(D$7&gt;0,ROUNDUP(P44/16,0),0)</f>
        <v>0</v>
      </c>
      <c r="D44" s="42" t="e">
        <f>MROUND(ROUNDUP(P44/C44,0),2)</f>
        <v>#DIV/0!</v>
      </c>
      <c r="E44" s="15" t="e">
        <f t="shared" si="4"/>
        <v>#DIV/0!</v>
      </c>
      <c r="F44" s="1">
        <v>100</v>
      </c>
      <c r="G44" s="42"/>
      <c r="H44" s="42">
        <f t="shared" si="5"/>
        <v>0</v>
      </c>
      <c r="I44" s="42">
        <f t="shared" si="6"/>
        <v>0</v>
      </c>
      <c r="J44" s="54">
        <f t="shared" si="3"/>
        <v>0</v>
      </c>
      <c r="K44" s="48" t="s">
        <v>73</v>
      </c>
      <c r="L44" s="43" t="s">
        <v>76</v>
      </c>
      <c r="M44" s="44" t="s">
        <v>76</v>
      </c>
      <c r="N44" s="44">
        <f>F11+L11</f>
        <v>0</v>
      </c>
      <c r="O44" s="46">
        <f>ROUNDUP(N44/24*4,0)</f>
        <v>0</v>
      </c>
      <c r="P44" s="47">
        <f>O44</f>
        <v>0</v>
      </c>
    </row>
    <row r="45" spans="1:16" ht="156" x14ac:dyDescent="0.3">
      <c r="A45" s="9" t="s">
        <v>74</v>
      </c>
      <c r="B45" s="15"/>
      <c r="C45" s="1">
        <f>IF(D$7&gt;0,ROUNDUP(P45/16,0),0)</f>
        <v>0</v>
      </c>
      <c r="D45" s="15" t="e">
        <f>MROUND(ROUNDUP(P45/C45,0),2)</f>
        <v>#DIV/0!</v>
      </c>
      <c r="E45" s="15" t="e">
        <f t="shared" si="4"/>
        <v>#DIV/0!</v>
      </c>
      <c r="F45" s="1">
        <v>100</v>
      </c>
      <c r="G45" s="42"/>
      <c r="H45" s="42">
        <f t="shared" si="5"/>
        <v>0</v>
      </c>
      <c r="I45" s="42">
        <f t="shared" si="6"/>
        <v>0</v>
      </c>
      <c r="J45" s="54">
        <f t="shared" si="3"/>
        <v>0</v>
      </c>
      <c r="K45" s="48" t="s">
        <v>75</v>
      </c>
      <c r="L45" s="43">
        <f>J11</f>
        <v>0</v>
      </c>
      <c r="M45" s="44">
        <f>ROUNDUP(L45/1000,0)</f>
        <v>0</v>
      </c>
      <c r="N45" s="44" t="s">
        <v>76</v>
      </c>
      <c r="O45" s="46" t="s">
        <v>76</v>
      </c>
      <c r="P45" s="47">
        <f>M45</f>
        <v>0</v>
      </c>
    </row>
    <row r="46" spans="1:16" x14ac:dyDescent="0.3">
      <c r="A46" s="9" t="s">
        <v>69</v>
      </c>
      <c r="B46" s="41" t="s">
        <v>81</v>
      </c>
      <c r="C46" s="1">
        <f>IF(D$7&gt;0,ROUNDUP(P46/16,0),0)</f>
        <v>0</v>
      </c>
      <c r="D46" s="15" t="e">
        <f>MROUND(ROUNDUP(P46/C46,0),2)</f>
        <v>#DIV/0!</v>
      </c>
      <c r="E46" s="15" t="e">
        <f t="shared" si="4"/>
        <v>#DIV/0!</v>
      </c>
      <c r="F46" s="1">
        <v>100</v>
      </c>
      <c r="G46" s="42"/>
      <c r="H46" s="42">
        <f t="shared" si="5"/>
        <v>0</v>
      </c>
      <c r="I46" s="42">
        <f>IF(C46=0,0,E46*C46)</f>
        <v>0</v>
      </c>
      <c r="J46" s="54">
        <f t="shared" si="3"/>
        <v>0</v>
      </c>
      <c r="K46" s="48" t="s">
        <v>78</v>
      </c>
      <c r="L46" s="43">
        <f>J11</f>
        <v>0</v>
      </c>
      <c r="M46" s="44">
        <f>ROUNDUP(L46/500,0)</f>
        <v>0</v>
      </c>
      <c r="N46" s="44" t="s">
        <v>76</v>
      </c>
      <c r="O46" s="46" t="s">
        <v>76</v>
      </c>
      <c r="P46" s="47">
        <f>M46</f>
        <v>0</v>
      </c>
    </row>
    <row r="47" spans="1:16" ht="78" x14ac:dyDescent="0.3">
      <c r="A47" s="9" t="s">
        <v>70</v>
      </c>
      <c r="B47" s="17"/>
      <c r="C47" s="1">
        <f>IF(D$7&gt;0,ROUNDUP(P47/16,0),0)</f>
        <v>0</v>
      </c>
      <c r="D47" s="15" t="e">
        <f>MROUND(ROUNDUP(P47/C47,0),2)</f>
        <v>#DIV/0!</v>
      </c>
      <c r="E47" s="15" t="e">
        <f t="shared" si="4"/>
        <v>#DIV/0!</v>
      </c>
      <c r="F47" s="18">
        <v>100</v>
      </c>
      <c r="G47" s="19"/>
      <c r="H47" s="42">
        <f t="shared" si="5"/>
        <v>0</v>
      </c>
      <c r="I47" s="42">
        <f t="shared" si="6"/>
        <v>0</v>
      </c>
      <c r="J47" s="55">
        <f t="shared" si="3"/>
        <v>0</v>
      </c>
      <c r="K47" s="48" t="s">
        <v>77</v>
      </c>
      <c r="L47" s="43">
        <f>J11</f>
        <v>0</v>
      </c>
      <c r="M47" s="44">
        <f>ROUNDUP(L47/1000,0)</f>
        <v>0</v>
      </c>
      <c r="N47" s="20" t="s">
        <v>76</v>
      </c>
      <c r="O47" s="21" t="s">
        <v>76</v>
      </c>
      <c r="P47" s="22">
        <f>M47</f>
        <v>0</v>
      </c>
    </row>
    <row r="48" spans="1:16" x14ac:dyDescent="0.3">
      <c r="A48" s="6" t="s">
        <v>72</v>
      </c>
      <c r="B48" s="41"/>
      <c r="C48" s="56">
        <f>IF(OR(D5&gt;0,D7&gt;0),1,0)</f>
        <v>0</v>
      </c>
      <c r="D48" s="1">
        <v>4</v>
      </c>
      <c r="E48" s="1">
        <v>8</v>
      </c>
      <c r="F48" s="1">
        <f>100+F11*N11+L11*N11</f>
        <v>100</v>
      </c>
      <c r="G48" s="42" t="e">
        <f>$J$11*6/$C$44</f>
        <v>#DIV/0!</v>
      </c>
      <c r="H48" s="42">
        <f>C48*D48</f>
        <v>0</v>
      </c>
      <c r="I48" s="42">
        <f t="shared" si="6"/>
        <v>0</v>
      </c>
      <c r="J48" s="54">
        <f t="shared" si="3"/>
        <v>0</v>
      </c>
      <c r="K48" s="57"/>
      <c r="L48" s="58"/>
      <c r="M48" s="58"/>
      <c r="N48" s="58"/>
      <c r="O48" s="58"/>
      <c r="P48" s="59"/>
    </row>
    <row r="49" spans="1:16" x14ac:dyDescent="0.3">
      <c r="A49" s="64" t="s">
        <v>82</v>
      </c>
      <c r="B49" s="65"/>
      <c r="C49" s="63">
        <f>P49</f>
        <v>0</v>
      </c>
      <c r="D49" s="66">
        <v>4</v>
      </c>
      <c r="E49" s="66">
        <v>8</v>
      </c>
      <c r="F49" s="66">
        <v>40</v>
      </c>
      <c r="G49" s="67"/>
      <c r="H49" s="67">
        <f>C49*D49</f>
        <v>0</v>
      </c>
      <c r="I49" s="42">
        <f t="shared" si="6"/>
        <v>0</v>
      </c>
      <c r="J49" s="68">
        <f t="shared" ref="J49" si="7">F49*C49</f>
        <v>0</v>
      </c>
      <c r="K49" s="60" t="s">
        <v>83</v>
      </c>
      <c r="L49" s="61">
        <f>P11</f>
        <v>0</v>
      </c>
      <c r="M49" s="61">
        <f>ROUNDUP(L49/2000*4,0)</f>
        <v>0</v>
      </c>
      <c r="N49" s="61"/>
      <c r="O49" s="61"/>
      <c r="P49" s="62">
        <f>M49</f>
        <v>0</v>
      </c>
    </row>
    <row r="50" spans="1:16" x14ac:dyDescent="0.3">
      <c r="A50" s="29" t="s">
        <v>84</v>
      </c>
      <c r="B50" s="41"/>
      <c r="C50" s="1">
        <f>IF(D9&gt;0,1,0)</f>
        <v>0</v>
      </c>
      <c r="D50" s="1">
        <v>1</v>
      </c>
      <c r="E50" s="1">
        <v>1</v>
      </c>
      <c r="F50" s="1">
        <v>10</v>
      </c>
      <c r="G50" s="42"/>
      <c r="H50" s="42">
        <f>D50*C50</f>
        <v>0</v>
      </c>
      <c r="I50" s="42">
        <f t="shared" si="6"/>
        <v>0</v>
      </c>
      <c r="J50" s="69">
        <f>F50*C50</f>
        <v>0</v>
      </c>
      <c r="K50" s="7"/>
      <c r="L50"/>
      <c r="M50"/>
      <c r="N50"/>
      <c r="O50"/>
      <c r="P50"/>
    </row>
    <row r="51" spans="1:16" ht="16.2" thickBot="1" x14ac:dyDescent="0.35"/>
    <row r="52" spans="1:16" ht="16.2" thickBot="1" x14ac:dyDescent="0.35">
      <c r="B52" s="4" t="s">
        <v>35</v>
      </c>
      <c r="C52" s="5">
        <f>SUM(C37:C50)</f>
        <v>0</v>
      </c>
      <c r="D52" s="49"/>
      <c r="E52" s="49"/>
      <c r="F52" s="49"/>
      <c r="G52" s="2"/>
      <c r="H52" s="3">
        <f>SUM(H37:H50)</f>
        <v>0</v>
      </c>
      <c r="I52" s="3">
        <f>SUM(I37:I50)</f>
        <v>0</v>
      </c>
      <c r="J52" s="3">
        <f>SUM(J37:J50)</f>
        <v>0</v>
      </c>
    </row>
    <row r="53" spans="1:16" x14ac:dyDescent="0.3">
      <c r="B53" s="71"/>
      <c r="C53" s="71"/>
      <c r="D53" s="72"/>
    </row>
    <row r="54" spans="1:16" x14ac:dyDescent="0.3">
      <c r="B54" s="71"/>
      <c r="C54" s="71"/>
      <c r="D54" s="72"/>
    </row>
    <row r="55" spans="1:16" x14ac:dyDescent="0.3">
      <c r="B55" s="71"/>
      <c r="C55" s="71"/>
      <c r="D55" s="72"/>
    </row>
    <row r="56" spans="1:16" x14ac:dyDescent="0.3">
      <c r="B56" s="71"/>
      <c r="C56" s="71"/>
      <c r="D56" s="72"/>
    </row>
    <row r="58" spans="1:16" x14ac:dyDescent="0.3">
      <c r="B58" s="71"/>
      <c r="C58" s="71"/>
      <c r="D58" s="72"/>
    </row>
    <row r="59" spans="1:16" x14ac:dyDescent="0.3">
      <c r="B59" s="71"/>
      <c r="C59" s="71"/>
      <c r="D59" s="72"/>
    </row>
    <row r="60" spans="1:16" x14ac:dyDescent="0.3">
      <c r="B60" s="71"/>
      <c r="C60" s="71"/>
      <c r="D60" s="72"/>
    </row>
    <row r="62" spans="1:16" x14ac:dyDescent="0.3">
      <c r="B62" s="71"/>
      <c r="C62" s="71"/>
      <c r="D62" s="72"/>
    </row>
    <row r="63" spans="1:16" x14ac:dyDescent="0.3">
      <c r="B63" s="71"/>
      <c r="C63" s="71"/>
      <c r="D63" s="72"/>
    </row>
    <row r="64" spans="1:16" x14ac:dyDescent="0.3">
      <c r="B64" s="71"/>
      <c r="C64" s="71"/>
      <c r="D64" s="72"/>
    </row>
    <row r="65" spans="2:4" x14ac:dyDescent="0.3">
      <c r="B65" s="71"/>
      <c r="C65" s="71"/>
      <c r="D65" s="72"/>
    </row>
    <row r="67" spans="2:4" x14ac:dyDescent="0.3">
      <c r="B67" s="71"/>
      <c r="C67" s="71"/>
      <c r="D67" s="72"/>
    </row>
    <row r="68" spans="2:4" x14ac:dyDescent="0.3">
      <c r="B68" s="71"/>
      <c r="C68" s="71"/>
      <c r="D68" s="72"/>
    </row>
    <row r="69" spans="2:4" x14ac:dyDescent="0.3">
      <c r="B69" s="71"/>
      <c r="C69" s="71"/>
      <c r="D69" s="72"/>
    </row>
    <row r="70" spans="2:4" x14ac:dyDescent="0.3">
      <c r="B70" s="71"/>
      <c r="C70" s="71"/>
      <c r="D70" s="72"/>
    </row>
    <row r="71" spans="2:4" x14ac:dyDescent="0.3">
      <c r="B71" s="71"/>
      <c r="C71" s="71"/>
      <c r="D71" s="72"/>
    </row>
  </sheetData>
  <mergeCells count="19">
    <mergeCell ref="J24:O26"/>
    <mergeCell ref="D36:E36"/>
    <mergeCell ref="A1:C1"/>
    <mergeCell ref="A16:I16"/>
    <mergeCell ref="K17:K23"/>
    <mergeCell ref="A3:B7"/>
    <mergeCell ref="D1:F1"/>
    <mergeCell ref="B53:B56"/>
    <mergeCell ref="C53:C56"/>
    <mergeCell ref="D53:D56"/>
    <mergeCell ref="B58:B60"/>
    <mergeCell ref="C58:C60"/>
    <mergeCell ref="D58:D60"/>
    <mergeCell ref="B62:B65"/>
    <mergeCell ref="C62:C65"/>
    <mergeCell ref="D62:D65"/>
    <mergeCell ref="B67:B71"/>
    <mergeCell ref="C67:C71"/>
    <mergeCell ref="D67:D71"/>
  </mergeCells>
  <conditionalFormatting sqref="B11">
    <cfRule type="expression" dxfId="9" priority="6">
      <formula>$D$4=0</formula>
    </cfRule>
  </conditionalFormatting>
  <conditionalFormatting sqref="B18:B22 D18:E22 G18:H22">
    <cfRule type="expression" dxfId="8" priority="4">
      <formula>$D$4=0</formula>
    </cfRule>
  </conditionalFormatting>
  <conditionalFormatting sqref="D11">
    <cfRule type="expression" dxfId="7" priority="5">
      <formula>$D$4=0</formula>
    </cfRule>
  </conditionalFormatting>
  <conditionalFormatting sqref="F11">
    <cfRule type="expression" dxfId="6" priority="9">
      <formula>$D$5=0</formula>
    </cfRule>
  </conditionalFormatting>
  <conditionalFormatting sqref="H11">
    <cfRule type="expression" dxfId="5" priority="11">
      <formula>$D$6=0</formula>
    </cfRule>
  </conditionalFormatting>
  <conditionalFormatting sqref="J11">
    <cfRule type="expression" dxfId="4" priority="10">
      <formula>$D$7=0</formula>
    </cfRule>
  </conditionalFormatting>
  <conditionalFormatting sqref="J18:J23">
    <cfRule type="expression" dxfId="3" priority="2">
      <formula>$D$5=0</formula>
    </cfRule>
  </conditionalFormatting>
  <conditionalFormatting sqref="L11">
    <cfRule type="expression" dxfId="2" priority="8" stopIfTrue="1">
      <formula>$D$7=0</formula>
    </cfRule>
  </conditionalFormatting>
  <conditionalFormatting sqref="N11">
    <cfRule type="expression" dxfId="1" priority="7">
      <formula>$D$5+$D$7=0</formula>
    </cfRule>
  </conditionalFormatting>
  <conditionalFormatting sqref="P11">
    <cfRule type="expression" dxfId="0" priority="1" stopIfTrue="1">
      <formula>$D$8=0</formula>
    </cfRule>
  </conditionalFormatting>
  <dataValidations disablePrompts="1" count="1">
    <dataValidation type="list" allowBlank="1" showInputMessage="1" showErrorMessage="1" sqref="D4:D9 L49:O50" xr:uid="{001F00AE-002D-4A45-85AD-00A200A3004E}">
      <formula1>"1,0"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Гибрид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Ферапонтов Евгений Геннадьевич</cp:lastModifiedBy>
  <cp:revision>3</cp:revision>
  <dcterms:created xsi:type="dcterms:W3CDTF">2024-05-23T13:01:03Z</dcterms:created>
  <dcterms:modified xsi:type="dcterms:W3CDTF">2025-02-25T12:42:29Z</dcterms:modified>
</cp:coreProperties>
</file>