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rnurgaliev\Documents\"/>
    </mc:Choice>
  </mc:AlternateContent>
  <xr:revisionPtr revIDLastSave="0" documentId="13_ncr:1_{49529B35-F467-4002-8009-E212868959E1}" xr6:coauthVersionLast="36" xr6:coauthVersionMax="47" xr10:uidLastSave="{00000000-0000-0000-0000-000000000000}"/>
  <bookViews>
    <workbookView xWindow="0" yWindow="0" windowWidth="24525" windowHeight="15075" tabRatio="583" xr2:uid="{00000000-000D-0000-FFFF-FFFF00000000}"/>
  </bookViews>
  <sheets>
    <sheet name="Гибрид" sheetId="6" r:id="rId1"/>
  </sheets>
  <calcPr calcId="191029"/>
</workbook>
</file>

<file path=xl/calcChain.xml><?xml version="1.0" encoding="utf-8"?>
<calcChain xmlns="http://schemas.openxmlformats.org/spreadsheetml/2006/main">
  <c r="E82" i="6" l="1"/>
  <c r="I78" i="6" l="1"/>
  <c r="H78" i="6"/>
  <c r="D78" i="6"/>
  <c r="C78" i="6"/>
  <c r="B78" i="6"/>
  <c r="B54" i="6"/>
  <c r="D54" i="6" s="1"/>
  <c r="C54" i="6" l="1"/>
  <c r="D79" i="6"/>
  <c r="C73" i="6" l="1"/>
  <c r="D73" i="6" s="1"/>
  <c r="B73" i="6"/>
  <c r="E73" i="6" s="1"/>
  <c r="B82" i="6"/>
  <c r="C79" i="6"/>
  <c r="C49" i="6"/>
  <c r="C82" i="6" l="1"/>
  <c r="D82" i="6"/>
  <c r="H73" i="6"/>
  <c r="K55" i="6" l="1"/>
  <c r="C55" i="6" s="1"/>
  <c r="K56" i="6"/>
  <c r="B56" i="6"/>
  <c r="B57" i="6"/>
  <c r="B58" i="6"/>
  <c r="D55" i="6" l="1"/>
  <c r="C56" i="6"/>
  <c r="B80" i="6"/>
  <c r="D57" i="6"/>
  <c r="B81" i="6"/>
  <c r="B55" i="6"/>
  <c r="B79" i="6" s="1"/>
  <c r="D58" i="6"/>
  <c r="C57" i="6"/>
  <c r="D56" i="6"/>
  <c r="C58" i="6"/>
  <c r="H82" i="6" s="1"/>
  <c r="I81" i="6" l="1"/>
  <c r="C81" i="6"/>
  <c r="D81" i="6" s="1"/>
  <c r="E81" i="6"/>
  <c r="I79" i="6"/>
  <c r="E79" i="6"/>
  <c r="C80" i="6"/>
  <c r="D80" i="6" s="1"/>
  <c r="I80" i="6" s="1"/>
  <c r="E80" i="6"/>
  <c r="I82" i="6"/>
  <c r="H80" i="6"/>
  <c r="H79" i="6"/>
  <c r="H81" i="6"/>
  <c r="K49" i="6"/>
  <c r="F16" i="6"/>
  <c r="F10" i="6"/>
  <c r="F11" i="6" l="1"/>
  <c r="K46" i="6" s="1"/>
  <c r="C46" i="6" s="1"/>
  <c r="D46" i="6" s="1"/>
  <c r="D49" i="6"/>
  <c r="I73" i="6" s="1"/>
  <c r="C28" i="6"/>
  <c r="K51" i="6"/>
  <c r="C51" i="6" s="1"/>
  <c r="K53" i="6"/>
  <c r="C53" i="6" s="1"/>
  <c r="C30" i="6"/>
  <c r="C29" i="6"/>
  <c r="C27" i="6"/>
  <c r="C31" i="6"/>
  <c r="K50" i="6"/>
  <c r="C50" i="6" s="1"/>
  <c r="K45" i="6"/>
  <c r="C45" i="6" s="1"/>
  <c r="B77" i="6" l="1"/>
  <c r="C77" i="6" s="1"/>
  <c r="D77" i="6" s="1"/>
  <c r="B75" i="6"/>
  <c r="C75" i="6" s="1"/>
  <c r="D75" i="6" s="1"/>
  <c r="B74" i="6"/>
  <c r="C74" i="6" s="1"/>
  <c r="D74" i="6" s="1"/>
  <c r="B69" i="6"/>
  <c r="B70" i="6"/>
  <c r="E70" i="6" s="1"/>
  <c r="D50" i="6"/>
  <c r="D53" i="6"/>
  <c r="D51" i="6"/>
  <c r="D45" i="6"/>
  <c r="C32" i="6"/>
  <c r="F27" i="6"/>
  <c r="E74" i="6" l="1"/>
  <c r="H74" i="6"/>
  <c r="F74" i="6"/>
  <c r="I75" i="6"/>
  <c r="I77" i="6"/>
  <c r="I74" i="6"/>
  <c r="E75" i="6"/>
  <c r="H75" i="6"/>
  <c r="E77" i="6"/>
  <c r="H77" i="6"/>
  <c r="C69" i="6"/>
  <c r="D69" i="6" s="1"/>
  <c r="I69" i="6" s="1"/>
  <c r="E69" i="6"/>
  <c r="C70" i="6"/>
  <c r="F70" i="6"/>
  <c r="D70" i="6" l="1"/>
  <c r="I70" i="6" s="1"/>
  <c r="H70" i="6"/>
  <c r="H69" i="6"/>
  <c r="B32" i="6" l="1"/>
  <c r="I31" i="6" l="1"/>
  <c r="F31" i="6" l="1"/>
  <c r="I30" i="6"/>
  <c r="F30" i="6"/>
  <c r="I29" i="6"/>
  <c r="F29" i="6"/>
  <c r="I28" i="6"/>
  <c r="F28" i="6"/>
  <c r="I27" i="6"/>
  <c r="H32" i="6"/>
  <c r="G32" i="6"/>
  <c r="J32" i="6" l="1"/>
  <c r="F32" i="6"/>
  <c r="I32" i="6"/>
  <c r="K47" i="6" l="1"/>
  <c r="C47" i="6" s="1"/>
  <c r="B71" i="6" s="1"/>
  <c r="C71" i="6" s="1"/>
  <c r="F13" i="6"/>
  <c r="L48" i="6" s="1"/>
  <c r="K48" i="6"/>
  <c r="C48" i="6" s="1"/>
  <c r="B72" i="6" s="1"/>
  <c r="C72" i="6" s="1"/>
  <c r="D72" i="6" s="1"/>
  <c r="E72" i="6" l="1"/>
  <c r="K52" i="6"/>
  <c r="C52" i="6" s="1"/>
  <c r="B76" i="6" l="1"/>
  <c r="C76" i="6" s="1"/>
  <c r="D76" i="6" s="1"/>
  <c r="E71" i="6"/>
  <c r="D71" i="6"/>
  <c r="D47" i="6"/>
  <c r="D48" i="6"/>
  <c r="D83" i="6" l="1"/>
  <c r="B83" i="6"/>
  <c r="E76" i="6"/>
  <c r="E83" i="6" s="1"/>
  <c r="H76" i="6"/>
  <c r="C83" i="6"/>
  <c r="H71" i="6"/>
  <c r="I71" i="6"/>
  <c r="H72" i="6"/>
  <c r="I72" i="6"/>
  <c r="D52" i="6"/>
  <c r="I76" i="6" s="1"/>
</calcChain>
</file>

<file path=xl/sharedStrings.xml><?xml version="1.0" encoding="utf-8"?>
<sst xmlns="http://schemas.openxmlformats.org/spreadsheetml/2006/main" count="110" uniqueCount="88">
  <si>
    <t>Участников конференций в пике</t>
  </si>
  <si>
    <t xml:space="preserve">Пользователей одновременно подключающихся к конференциям извне </t>
  </si>
  <si>
    <t xml:space="preserve">Загруженных пользователями на портал новых видеозаписей в сутки (в часах) </t>
  </si>
  <si>
    <t>Профиль конференции</t>
  </si>
  <si>
    <t>Процент пользователей в конференции данного типа</t>
  </si>
  <si>
    <t>Пользователей</t>
  </si>
  <si>
    <t>Размер конференции (среднее кол-во одновременных участников)</t>
  </si>
  <si>
    <t>Микрофонов всего</t>
  </si>
  <si>
    <t>Кол-во конференций</t>
  </si>
  <si>
    <t>тип1 (2 польз)</t>
  </si>
  <si>
    <t>тип2 (3-5 польз)</t>
  </si>
  <si>
    <t>тип3 (6-10 польз)</t>
  </si>
  <si>
    <t>тип4 (10-30 польз)</t>
  </si>
  <si>
    <t>тип 5 (30+ польз)</t>
  </si>
  <si>
    <t>total</t>
  </si>
  <si>
    <t>MEDIA</t>
  </si>
  <si>
    <t xml:space="preserve">100 активностей 1 vCPU </t>
  </si>
  <si>
    <t>TURN</t>
  </si>
  <si>
    <t>Профиль конференции задается средним количеством пользователей в конференции, процентом включенных микрофонов, камер, демонстраций экрана, активных записей. Можно изменить набор типов.
Значения по умолчанию взяты из статистики по облаку.</t>
  </si>
  <si>
    <t>Процент пользователей с включенными камерами %</t>
  </si>
  <si>
    <t>Пользователей с включенными микрофонами в конференции в среднем (шт)</t>
  </si>
  <si>
    <t>Процент конференций, где ведется демонстрация экрана %</t>
  </si>
  <si>
    <t>Процент конференций с записью %</t>
  </si>
  <si>
    <t>Нагрузка по обработке видео (для сервисов видео и записи идет в дополнение к основной)</t>
  </si>
  <si>
    <t>Основная нагрузка (в условных единицах - могут быть пользователи, кол-во звонков или записей и т.д.)</t>
  </si>
  <si>
    <t>Кол-во VM</t>
  </si>
  <si>
    <t>Общая пропускная способность (Мбит/сек)</t>
  </si>
  <si>
    <t>Диск на каждой VM (ГБ)</t>
  </si>
  <si>
    <t>Cуммарно RAM (ГБ)</t>
  </si>
  <si>
    <t>Роль</t>
  </si>
  <si>
    <t>2 vCPU на одну запись конференции. Для обработки 6 часовых записей в сутки требуется 1 доп. vCPU.</t>
  </si>
  <si>
    <t>RAM на каждой VM (ГБ)</t>
  </si>
  <si>
    <t>Cуммарно vCPU (шт)</t>
  </si>
  <si>
    <t>vCPU на каждой VM (шт)</t>
  </si>
  <si>
    <t>Итого:</t>
  </si>
  <si>
    <t>Проверка расчета CPU</t>
  </si>
  <si>
    <t>Проверка расчета RAM</t>
  </si>
  <si>
    <t>Количество виртуальных машин определяется вручную индивидуально, исходя из суммарных требований по нагрузке (столбцы C,D) и требований к отказоустойчивости, за исключением сервисов, для которых количество VM указано в желтой ячейке.</t>
  </si>
  <si>
    <t>Финальный список VM
*подсказка</t>
  </si>
  <si>
    <t>Данным цветом отмечены поля, которые содержат формулы и заполняются автоматически. Их можно заменить, но стоит учитывать, что формула расчитывающая среднестатистическое значение будет удалена при редактировании ячейки</t>
  </si>
  <si>
    <t>Данным цветом отмечены поля для заполнения, в некоторых из них проставлены значения по умолчанию, их можно заменить.</t>
  </si>
  <si>
    <t>Данным цветом отмечены поля, которые содержат формулы и заполняются автоматически. Менять их значения не следует.</t>
  </si>
  <si>
    <t>1 vCPU на 100 пользователей</t>
  </si>
  <si>
    <t>/дата составления/</t>
  </si>
  <si>
    <t>Пропускная способность для каждой VM (Мбит/сек)</t>
  </si>
  <si>
    <t>Да</t>
  </si>
  <si>
    <t xml:space="preserve">Формула расчета кол-ва ядер (1vCPU = 1CPU = 1Core, количество потоков не учитывается, стоит принимать в расчет только физические ядра процессора) </t>
  </si>
  <si>
    <t>Версия калькулятора от</t>
  </si>
  <si>
    <t>Общее количество зарегистрированных пользователей</t>
  </si>
  <si>
    <t>Данным цветом отмечены поля, заполнение которых не требуется.</t>
  </si>
  <si>
    <t>Планируется ли использование конференций?</t>
  </si>
  <si>
    <t>Нет</t>
  </si>
  <si>
    <t>Планируется ли запись конференций?</t>
  </si>
  <si>
    <t>Записей конференций в сутки (в часах)</t>
  </si>
  <si>
    <t>Планируется ли использование видеопортала?</t>
  </si>
  <si>
    <t>Глубина хранения  видеозаписей, записей конференций (в днях) на S3</t>
  </si>
  <si>
    <t>Планируется ли интеграция с SIP?</t>
  </si>
  <si>
    <t>Количество одновременных SIP подключений</t>
  </si>
  <si>
    <t>Планируется ли синхронизация календарей?</t>
  </si>
  <si>
    <t>Планируется ли шифрование записей конференций в хранилище?</t>
  </si>
  <si>
    <t>Планируется ли дополнительное шифрование чатов?</t>
  </si>
  <si>
    <t>Расчет конфигурации серверов для Гибридной инсталляции.</t>
  </si>
  <si>
    <t>Если известно максимальное количество одновременно ведущихся записей конференций в пике, можно указать это значение вручную в красной ячейке. Это значение влияет на масштабирование сервисов записей для поддержки нагрузки в пике. По умолчанию 3 одновременные записи считается минимальным значением.
Исходная формула в ячейке =ЕСЛИ(ОКРУГЛВВЕРХ(I26*J26/100+I27*J27/100+I28*J28/100+I29*J29/100+I30*J30/100;0)&lt;3;3;ОКРУГЛВВЕРХ(I26*J26/100+I27*J27/100+I28*J28/100+I29*J29/100+I30*J30/100;0))</t>
  </si>
  <si>
    <t>DION Proxy</t>
  </si>
  <si>
    <t>1 vCPU на 500 пользователей</t>
  </si>
  <si>
    <t>RECORDER</t>
  </si>
  <si>
    <t>SIP</t>
  </si>
  <si>
    <t>2 vCPU на 1 вызовов</t>
  </si>
  <si>
    <t>DMZ Video Proxy</t>
  </si>
  <si>
    <t xml:space="preserve">1 vCPU на 500 пользователей </t>
  </si>
  <si>
    <t>Количество пользователей одновременно смотрят видео на портале DION.Видео</t>
  </si>
  <si>
    <t>API Video Gateway + Upload Companion + DLP Adapter</t>
  </si>
  <si>
    <t xml:space="preserve">1 vCPU на 1000 пользователей </t>
  </si>
  <si>
    <t>HLS Converter</t>
  </si>
  <si>
    <t xml:space="preserve">1 vCPU для обработки 6 загруженных на портал записей длиной час за сутки </t>
  </si>
  <si>
    <t>HLS Delivery в режиме redirect</t>
  </si>
  <si>
    <t>1 vCPU на 1000 пользователей</t>
  </si>
  <si>
    <t>S3 minio</t>
  </si>
  <si>
    <t>Чаты (крипто-провайдер)</t>
  </si>
  <si>
    <t>EWS-Connector</t>
  </si>
  <si>
    <t>KMS</t>
  </si>
  <si>
    <t xml:space="preserve">2 vCPU на 1000 пользователей </t>
  </si>
  <si>
    <t>1 шт на 2000 пользователей</t>
  </si>
  <si>
    <t>Серверы, отмеченные данным цветом, не должны использовать
механизм переподписки ресурсов в гипервизоре</t>
  </si>
  <si>
    <t>Объем хранилища S3 рассчитывается по 1 Гб на час записи.</t>
  </si>
  <si>
    <t>Speech-to-text</t>
  </si>
  <si>
    <t xml:space="preserve"> 24.09.2026</t>
  </si>
  <si>
    <t>Требуется ли функционал расшифровки видео (speech-to-text)?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</si>
</sst>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Calibri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9C5700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JetBrains Mono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 (Основной текст)"/>
      <charset val="204"/>
    </font>
    <font>
      <b/>
      <sz val="14"/>
      <color theme="1" tint="0.34998626667073579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 tint="0.34998626667073579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rgb="FFFFEB9C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A3F3F9"/>
        <bgColor rgb="FFFFEB9C"/>
      </patternFill>
    </fill>
    <fill>
      <patternFill patternType="solid">
        <fgColor rgb="FFA3F3F9"/>
        <bgColor rgb="FFC6EFCE"/>
      </patternFill>
    </fill>
    <fill>
      <patternFill patternType="solid">
        <fgColor rgb="FFA3F3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</borders>
  <cellStyleXfs count="5">
    <xf numFmtId="0" fontId="0" fillId="0" borderId="0"/>
    <xf numFmtId="0" fontId="4" fillId="2" borderId="0" applyNumberFormat="0" applyBorder="0" applyProtection="0"/>
    <xf numFmtId="0" fontId="5" fillId="3" borderId="0" applyNumberFormat="0" applyBorder="0" applyProtection="0"/>
    <xf numFmtId="0" fontId="3" fillId="4" borderId="0" applyNumberFormat="0" applyBorder="0" applyAlignment="0" applyProtection="0"/>
    <xf numFmtId="0" fontId="1" fillId="6" borderId="0" applyNumberFormat="0" applyBorder="0" applyAlignment="0" applyProtection="0"/>
  </cellStyleXfs>
  <cellXfs count="111">
    <xf numFmtId="0" fontId="0" fillId="0" borderId="0" xfId="0"/>
    <xf numFmtId="0" fontId="0" fillId="0" borderId="0" xfId="0" applyAlignment="1">
      <alignment wrapText="1"/>
    </xf>
    <xf numFmtId="0" fontId="5" fillId="3" borderId="0" xfId="2"/>
    <xf numFmtId="0" fontId="0" fillId="0" borderId="1" xfId="0" applyBorder="1"/>
    <xf numFmtId="1" fontId="5" fillId="3" borderId="1" xfId="2" applyNumberFormat="1" applyBorder="1" applyAlignment="1">
      <alignment horizontal="right" wrapText="1"/>
    </xf>
    <xf numFmtId="1" fontId="6" fillId="0" borderId="1" xfId="0" applyNumberFormat="1" applyFont="1" applyBorder="1" applyAlignment="1">
      <alignment horizontal="right" wrapText="1"/>
    </xf>
    <xf numFmtId="1" fontId="5" fillId="3" borderId="1" xfId="2" applyNumberForma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0" fillId="0" borderId="6" xfId="0" applyBorder="1"/>
    <xf numFmtId="1" fontId="4" fillId="2" borderId="1" xfId="1" applyNumberFormat="1" applyBorder="1"/>
    <xf numFmtId="1" fontId="0" fillId="0" borderId="6" xfId="0" applyNumberFormat="1" applyBorder="1"/>
    <xf numFmtId="1" fontId="7" fillId="0" borderId="6" xfId="0" applyNumberFormat="1" applyFont="1" applyBorder="1"/>
    <xf numFmtId="0" fontId="10" fillId="0" borderId="3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0" fillId="0" borderId="5" xfId="0" applyBorder="1"/>
    <xf numFmtId="1" fontId="5" fillId="3" borderId="6" xfId="2" applyNumberFormat="1" applyBorder="1" applyAlignment="1">
      <alignment horizontal="right" wrapText="1"/>
    </xf>
    <xf numFmtId="0" fontId="6" fillId="0" borderId="7" xfId="0" applyFont="1" applyBorder="1" applyAlignment="1">
      <alignment horizontal="left" wrapText="1"/>
    </xf>
    <xf numFmtId="1" fontId="6" fillId="0" borderId="8" xfId="0" applyNumberFormat="1" applyFont="1" applyBorder="1" applyAlignment="1">
      <alignment horizontal="right" wrapText="1"/>
    </xf>
    <xf numFmtId="0" fontId="0" fillId="0" borderId="8" xfId="0" applyBorder="1" applyAlignment="1">
      <alignment horizontal="left" wrapText="1"/>
    </xf>
    <xf numFmtId="1" fontId="4" fillId="5" borderId="6" xfId="1" applyNumberFormat="1" applyFill="1" applyBorder="1"/>
    <xf numFmtId="0" fontId="3" fillId="4" borderId="0" xfId="3"/>
    <xf numFmtId="0" fontId="10" fillId="0" borderId="0" xfId="0" applyFont="1" applyAlignment="1">
      <alignment horizontal="left"/>
    </xf>
    <xf numFmtId="0" fontId="10" fillId="4" borderId="3" xfId="3" applyFont="1" applyBorder="1" applyAlignment="1">
      <alignment horizontal="left" wrapText="1"/>
    </xf>
    <xf numFmtId="0" fontId="10" fillId="4" borderId="4" xfId="3" applyFont="1" applyBorder="1" applyAlignment="1">
      <alignment horizontal="left" wrapText="1"/>
    </xf>
    <xf numFmtId="0" fontId="10" fillId="4" borderId="1" xfId="3" applyFont="1" applyBorder="1" applyAlignment="1">
      <alignment horizontal="left" wrapText="1"/>
    </xf>
    <xf numFmtId="0" fontId="3" fillId="4" borderId="15" xfId="3" applyBorder="1"/>
    <xf numFmtId="0" fontId="3" fillId="4" borderId="16" xfId="3" applyBorder="1"/>
    <xf numFmtId="0" fontId="3" fillId="4" borderId="17" xfId="3" applyBorder="1"/>
    <xf numFmtId="0" fontId="3" fillId="4" borderId="0" xfId="3" applyAlignment="1"/>
    <xf numFmtId="1" fontId="1" fillId="9" borderId="9" xfId="4" applyNumberFormat="1" applyFill="1" applyBorder="1" applyAlignment="1">
      <alignment horizontal="right" wrapText="1"/>
    </xf>
    <xf numFmtId="0" fontId="10" fillId="0" borderId="0" xfId="0" applyFont="1" applyAlignment="1"/>
    <xf numFmtId="0" fontId="0" fillId="0" borderId="0" xfId="0" applyAlignment="1">
      <alignment horizontal="center"/>
    </xf>
    <xf numFmtId="0" fontId="0" fillId="0" borderId="0" xfId="0" applyBorder="1"/>
    <xf numFmtId="0" fontId="17" fillId="10" borderId="0" xfId="0" applyFont="1" applyFill="1" applyAlignment="1"/>
    <xf numFmtId="0" fontId="0" fillId="12" borderId="5" xfId="0" applyFill="1" applyBorder="1" applyAlignment="1">
      <alignment wrapText="1"/>
    </xf>
    <xf numFmtId="0" fontId="6" fillId="12" borderId="1" xfId="0" applyFont="1" applyFill="1" applyBorder="1" applyAlignment="1">
      <alignment horizontal="left" wrapText="1"/>
    </xf>
    <xf numFmtId="0" fontId="6" fillId="12" borderId="6" xfId="0" applyFont="1" applyFill="1" applyBorder="1" applyAlignment="1">
      <alignment horizontal="left" wrapText="1"/>
    </xf>
    <xf numFmtId="0" fontId="9" fillId="0" borderId="24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8" fillId="0" borderId="24" xfId="0" applyFont="1" applyBorder="1" applyAlignment="1">
      <alignment wrapText="1"/>
    </xf>
    <xf numFmtId="0" fontId="18" fillId="0" borderId="0" xfId="0" applyFont="1" applyAlignment="1">
      <alignment horizontal="left"/>
    </xf>
    <xf numFmtId="1" fontId="3" fillId="4" borderId="1" xfId="3" applyNumberFormat="1" applyBorder="1" applyAlignment="1">
      <alignment horizontal="right"/>
    </xf>
    <xf numFmtId="1" fontId="3" fillId="4" borderId="6" xfId="3" applyNumberFormat="1" applyBorder="1" applyAlignment="1">
      <alignment horizontal="right"/>
    </xf>
    <xf numFmtId="1" fontId="3" fillId="4" borderId="6" xfId="3" applyNumberFormat="1" applyBorder="1" applyAlignment="1">
      <alignment horizontal="right" wrapText="1"/>
    </xf>
    <xf numFmtId="0" fontId="15" fillId="3" borderId="25" xfId="0" applyFont="1" applyFill="1" applyBorder="1" applyAlignment="1">
      <alignment horizontal="right" vertical="center"/>
    </xf>
    <xf numFmtId="1" fontId="14" fillId="7" borderId="25" xfId="1" applyNumberFormat="1" applyFont="1" applyFill="1" applyBorder="1" applyAlignment="1">
      <alignment vertical="center"/>
    </xf>
    <xf numFmtId="0" fontId="11" fillId="0" borderId="2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14" borderId="1" xfId="0" applyFont="1" applyFill="1" applyBorder="1" applyAlignment="1">
      <alignment vertical="center" wrapText="1"/>
    </xf>
    <xf numFmtId="0" fontId="11" fillId="14" borderId="2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15" borderId="19" xfId="0" applyFont="1" applyFill="1" applyBorder="1" applyAlignment="1">
      <alignment vertical="center" wrapText="1"/>
    </xf>
    <xf numFmtId="0" fontId="1" fillId="15" borderId="1" xfId="0" applyFont="1" applyFill="1" applyBorder="1" applyAlignment="1">
      <alignment vertical="center" wrapText="1"/>
    </xf>
    <xf numFmtId="0" fontId="1" fillId="15" borderId="23" xfId="0" applyFont="1" applyFill="1" applyBorder="1" applyAlignment="1">
      <alignment vertical="center" wrapText="1"/>
    </xf>
    <xf numFmtId="0" fontId="19" fillId="15" borderId="1" xfId="0" applyFont="1" applyFill="1" applyBorder="1" applyAlignment="1">
      <alignment vertical="center" wrapText="1"/>
    </xf>
    <xf numFmtId="0" fontId="1" fillId="12" borderId="23" xfId="0" applyFont="1" applyFill="1" applyBorder="1" applyAlignment="1">
      <alignment vertical="center" wrapText="1"/>
    </xf>
    <xf numFmtId="0" fontId="1" fillId="12" borderId="19" xfId="0" applyFont="1" applyFill="1" applyBorder="1" applyAlignment="1">
      <alignment vertical="center" wrapText="1"/>
    </xf>
    <xf numFmtId="0" fontId="1" fillId="12" borderId="1" xfId="0" applyFont="1" applyFill="1" applyBorder="1" applyAlignment="1">
      <alignment vertical="center" wrapText="1"/>
    </xf>
    <xf numFmtId="0" fontId="19" fillId="12" borderId="1" xfId="0" applyFont="1" applyFill="1" applyBorder="1" applyAlignment="1">
      <alignment vertical="center" wrapText="1"/>
    </xf>
    <xf numFmtId="0" fontId="1" fillId="12" borderId="21" xfId="0" applyFont="1" applyFill="1" applyBorder="1" applyAlignment="1">
      <alignment vertical="center" wrapText="1"/>
    </xf>
    <xf numFmtId="0" fontId="1" fillId="12" borderId="5" xfId="0" applyFont="1" applyFill="1" applyBorder="1" applyAlignment="1">
      <alignment vertical="center" wrapText="1"/>
    </xf>
    <xf numFmtId="0" fontId="14" fillId="0" borderId="0" xfId="0" applyFont="1"/>
    <xf numFmtId="1" fontId="14" fillId="3" borderId="25" xfId="2" applyNumberFormat="1" applyFont="1" applyBorder="1" applyAlignment="1">
      <alignment vertical="center"/>
    </xf>
    <xf numFmtId="0" fontId="5" fillId="8" borderId="1" xfId="2" applyFill="1" applyBorder="1"/>
    <xf numFmtId="1" fontId="5" fillId="8" borderId="1" xfId="2" applyNumberFormat="1" applyFill="1" applyBorder="1"/>
    <xf numFmtId="0" fontId="1" fillId="4" borderId="22" xfId="3" applyFont="1" applyBorder="1" applyAlignment="1">
      <alignment horizontal="left" wrapText="1"/>
    </xf>
    <xf numFmtId="0" fontId="2" fillId="4" borderId="20" xfId="3" applyFont="1" applyBorder="1" applyAlignment="1">
      <alignment horizontal="left" wrapText="1"/>
    </xf>
    <xf numFmtId="0" fontId="2" fillId="4" borderId="19" xfId="3" applyFont="1" applyBorder="1" applyAlignment="1">
      <alignment horizontal="left" wrapText="1"/>
    </xf>
    <xf numFmtId="14" fontId="20" fillId="13" borderId="0" xfId="0" applyNumberFormat="1" applyFont="1" applyFill="1" applyAlignment="1">
      <alignment horizontal="center"/>
    </xf>
    <xf numFmtId="0" fontId="13" fillId="3" borderId="0" xfId="2" applyFont="1" applyAlignment="1">
      <alignment horizontal="left" vertical="center" wrapText="1"/>
    </xf>
    <xf numFmtId="0" fontId="2" fillId="4" borderId="0" xfId="3" applyFont="1" applyAlignment="1">
      <alignment horizontal="left" wrapText="1"/>
    </xf>
    <xf numFmtId="0" fontId="10" fillId="4" borderId="2" xfId="3" applyFont="1" applyBorder="1" applyAlignment="1">
      <alignment horizontal="left" wrapText="1"/>
    </xf>
    <xf numFmtId="0" fontId="10" fillId="4" borderId="3" xfId="3" applyFont="1" applyBorder="1" applyAlignment="1">
      <alignment horizontal="left" wrapText="1"/>
    </xf>
    <xf numFmtId="0" fontId="1" fillId="4" borderId="5" xfId="3" applyFont="1" applyBorder="1" applyAlignment="1">
      <alignment horizontal="left" wrapText="1"/>
    </xf>
    <xf numFmtId="0" fontId="3" fillId="4" borderId="1" xfId="3" applyBorder="1" applyAlignment="1">
      <alignment horizontal="left" wrapText="1"/>
    </xf>
    <xf numFmtId="0" fontId="13" fillId="8" borderId="0" xfId="2" applyFont="1" applyFill="1" applyBorder="1" applyAlignment="1">
      <alignment horizontal="left" vertical="center" wrapText="1"/>
    </xf>
    <xf numFmtId="1" fontId="13" fillId="2" borderId="0" xfId="1" applyNumberFormat="1" applyFont="1" applyBorder="1" applyAlignment="1">
      <alignment horizontal="left" vertical="center" wrapText="1"/>
    </xf>
    <xf numFmtId="0" fontId="15" fillId="12" borderId="25" xfId="0" applyFont="1" applyFill="1" applyBorder="1" applyAlignment="1">
      <alignment horizontal="left" vertical="center"/>
    </xf>
    <xf numFmtId="0" fontId="1" fillId="9" borderId="0" xfId="4" applyFill="1" applyBorder="1" applyAlignment="1">
      <alignment horizontal="left" wrapText="1"/>
    </xf>
    <xf numFmtId="0" fontId="15" fillId="12" borderId="29" xfId="0" applyFont="1" applyFill="1" applyBorder="1" applyAlignment="1">
      <alignment horizontal="left" vertical="center"/>
    </xf>
    <xf numFmtId="0" fontId="15" fillId="12" borderId="30" xfId="0" applyFont="1" applyFill="1" applyBorder="1" applyAlignment="1">
      <alignment horizontal="left" vertical="center"/>
    </xf>
    <xf numFmtId="0" fontId="15" fillId="12" borderId="31" xfId="0" applyFont="1" applyFill="1" applyBorder="1" applyAlignment="1">
      <alignment horizontal="left" vertical="center"/>
    </xf>
    <xf numFmtId="0" fontId="3" fillId="4" borderId="5" xfId="3" applyBorder="1" applyAlignment="1">
      <alignment horizontal="left" wrapText="1"/>
    </xf>
    <xf numFmtId="0" fontId="1" fillId="4" borderId="0" xfId="3" applyFont="1" applyBorder="1" applyAlignment="1">
      <alignment vertical="top" wrapText="1"/>
    </xf>
    <xf numFmtId="0" fontId="3" fillId="4" borderId="0" xfId="3" applyBorder="1" applyAlignment="1">
      <alignment vertical="top" wrapText="1"/>
    </xf>
    <xf numFmtId="0" fontId="10" fillId="4" borderId="0" xfId="3" applyFont="1" applyAlignment="1">
      <alignment horizontal="center"/>
    </xf>
    <xf numFmtId="0" fontId="16" fillId="11" borderId="0" xfId="0" applyFont="1" applyFill="1" applyAlignment="1">
      <alignment horizontal="left" vertical="center"/>
    </xf>
    <xf numFmtId="0" fontId="14" fillId="12" borderId="25" xfId="0" applyFont="1" applyFill="1" applyBorder="1" applyAlignment="1">
      <alignment horizontal="left" vertical="center"/>
    </xf>
    <xf numFmtId="0" fontId="14" fillId="12" borderId="25" xfId="0" applyFont="1" applyFill="1" applyBorder="1" applyAlignment="1">
      <alignment horizontal="left" vertical="center" wrapText="1"/>
    </xf>
    <xf numFmtId="0" fontId="15" fillId="15" borderId="0" xfId="0" applyFont="1" applyFill="1" applyAlignment="1">
      <alignment horizontal="center" vertical="center" wrapText="1"/>
    </xf>
    <xf numFmtId="0" fontId="12" fillId="3" borderId="10" xfId="2" applyFont="1" applyBorder="1" applyAlignment="1">
      <alignment horizontal="center" wrapText="1"/>
    </xf>
    <xf numFmtId="0" fontId="12" fillId="3" borderId="18" xfId="2" applyFont="1" applyBorder="1" applyAlignment="1">
      <alignment horizontal="center"/>
    </xf>
    <xf numFmtId="0" fontId="12" fillId="3" borderId="11" xfId="2" applyFont="1" applyBorder="1" applyAlignment="1">
      <alignment horizontal="center"/>
    </xf>
    <xf numFmtId="0" fontId="12" fillId="3" borderId="12" xfId="2" applyFont="1" applyBorder="1" applyAlignment="1">
      <alignment horizontal="center"/>
    </xf>
    <xf numFmtId="0" fontId="12" fillId="3" borderId="13" xfId="2" applyFont="1" applyBorder="1" applyAlignment="1">
      <alignment horizontal="center"/>
    </xf>
    <xf numFmtId="0" fontId="12" fillId="3" borderId="14" xfId="2" applyFont="1" applyBorder="1" applyAlignment="1">
      <alignment horizontal="center"/>
    </xf>
    <xf numFmtId="0" fontId="1" fillId="4" borderId="22" xfId="3" applyFont="1" applyBorder="1" applyAlignment="1">
      <alignment horizontal="left" wrapText="1"/>
    </xf>
    <xf numFmtId="0" fontId="2" fillId="4" borderId="20" xfId="3" applyFont="1" applyBorder="1" applyAlignment="1">
      <alignment horizontal="left" wrapText="1"/>
    </xf>
    <xf numFmtId="0" fontId="2" fillId="4" borderId="19" xfId="3" applyFont="1" applyBorder="1" applyAlignment="1">
      <alignment horizontal="left" wrapText="1"/>
    </xf>
    <xf numFmtId="0" fontId="1" fillId="4" borderId="20" xfId="3" applyFont="1" applyBorder="1" applyAlignment="1">
      <alignment horizontal="left" wrapText="1"/>
    </xf>
    <xf numFmtId="0" fontId="1" fillId="4" borderId="19" xfId="3" applyFont="1" applyBorder="1" applyAlignment="1">
      <alignment horizontal="left" wrapText="1"/>
    </xf>
    <xf numFmtId="0" fontId="1" fillId="4" borderId="22" xfId="3" applyFont="1" applyBorder="1" applyAlignment="1">
      <alignment horizontal="center" wrapText="1"/>
    </xf>
    <xf numFmtId="0" fontId="1" fillId="4" borderId="20" xfId="3" applyFont="1" applyBorder="1" applyAlignment="1">
      <alignment horizontal="center" wrapText="1"/>
    </xf>
    <xf numFmtId="0" fontId="1" fillId="4" borderId="19" xfId="3" applyFont="1" applyBorder="1" applyAlignment="1">
      <alignment horizontal="center" wrapText="1"/>
    </xf>
    <xf numFmtId="0" fontId="1" fillId="4" borderId="26" xfId="3" applyFont="1" applyBorder="1" applyAlignment="1">
      <alignment horizontal="left" vertical="top" wrapText="1"/>
    </xf>
    <xf numFmtId="0" fontId="2" fillId="4" borderId="27" xfId="3" applyFont="1" applyBorder="1" applyAlignment="1">
      <alignment horizontal="left" vertical="top" wrapText="1"/>
    </xf>
    <xf numFmtId="0" fontId="2" fillId="4" borderId="28" xfId="3" applyFont="1" applyBorder="1" applyAlignment="1">
      <alignment horizontal="left" vertical="top" wrapText="1"/>
    </xf>
  </cellXfs>
  <cellStyles count="5">
    <cellStyle name="20% — акцент2" xfId="4" builtinId="34"/>
    <cellStyle name="20% — акцент5" xfId="3" builtinId="46"/>
    <cellStyle name="Нейтральный" xfId="1" builtinId="28"/>
    <cellStyle name="Обычный" xfId="0" builtinId="0"/>
    <cellStyle name="Хороший" xfId="2" builtinId="26"/>
  </cellStyles>
  <dxfs count="7">
    <dxf>
      <fill>
        <patternFill>
          <bgColor rgb="FFFFB9B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</dxfs>
  <tableStyles count="0" defaultTableStyle="TableStyleMedium2" defaultPivotStyle="PivotStyleLight16"/>
  <colors>
    <mruColors>
      <color rgb="FFFFB9B9"/>
      <color rgb="FFA3F3F9"/>
      <color rgb="FFB4FFA0"/>
      <color rgb="FFFCB6B7"/>
      <color rgb="FFFDB6B7"/>
      <color rgb="FFFEB6B7"/>
      <color rgb="FFF4B6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c={50E778BB-5AA0-86AC-C87E-35580F875033}" id="{7925F4E6-D03A-A7B8-2004-FBD7A57226C6}"/>
  <person displayName="tc={01F9FFB9-1722-D8A5-B513-68957C289289}" id="{4395408D-706C-73F1-5B58-E8A0FE96C259}"/>
  <person displayName="tc={96C1BB7A-B8A1-6BAE-52FC-D9A58B44952B}" id="{A3FEB9F8-8C06-D5DC-B045-682B89CCFE48}"/>
  <person displayName="tc={6D6DC9E7-BF65-6800-52C4-E690172E6622}" id="{13E2295C-293E-5CB7-34D8-A882E7BF167B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8FC68-4258-477A-9DA0-9FB297981E3C}">
  <dimension ref="A1:L89"/>
  <sheetViews>
    <sheetView tabSelected="1" zoomScale="85" zoomScaleNormal="85" workbookViewId="0">
      <selection activeCell="E85" sqref="E85"/>
    </sheetView>
  </sheetViews>
  <sheetFormatPr defaultColWidth="11" defaultRowHeight="15.75"/>
  <cols>
    <col min="1" max="1" width="39.25" customWidth="1"/>
    <col min="2" max="2" width="14.25" customWidth="1"/>
    <col min="3" max="3" width="14.625" customWidth="1"/>
    <col min="4" max="4" width="15.125" customWidth="1"/>
    <col min="5" max="5" width="15.625" customWidth="1"/>
    <col min="6" max="6" width="13.25" customWidth="1"/>
    <col min="7" max="7" width="19.25" customWidth="1"/>
    <col min="8" max="8" width="21" customWidth="1"/>
    <col min="9" max="9" width="21.75" customWidth="1"/>
    <col min="10" max="10" width="29.625" customWidth="1"/>
    <col min="11" max="11" width="27.5" customWidth="1"/>
    <col min="12" max="12" width="25.25" customWidth="1"/>
    <col min="13" max="13" width="23.25" customWidth="1"/>
    <col min="14" max="14" width="14.75" customWidth="1"/>
    <col min="15" max="15" width="18" customWidth="1"/>
    <col min="16" max="16" width="21.75" customWidth="1"/>
    <col min="17" max="17" width="31" customWidth="1"/>
    <col min="21" max="21" width="53.25" customWidth="1"/>
  </cols>
  <sheetData>
    <row r="1" spans="1:12" ht="21">
      <c r="A1" s="41" t="s">
        <v>47</v>
      </c>
      <c r="B1" s="72" t="s">
        <v>86</v>
      </c>
      <c r="D1" s="31"/>
      <c r="E1" s="31"/>
    </row>
    <row r="2" spans="1:12">
      <c r="A2" s="22"/>
      <c r="B2" s="22"/>
      <c r="C2" s="22"/>
      <c r="D2" s="22"/>
      <c r="E2" s="22"/>
    </row>
    <row r="3" spans="1:12" ht="18.75">
      <c r="A3" s="73" t="s">
        <v>40</v>
      </c>
      <c r="B3" s="73"/>
      <c r="C3" s="73"/>
      <c r="D3" s="73"/>
      <c r="E3" s="73"/>
      <c r="F3" s="73"/>
      <c r="G3" s="73"/>
      <c r="H3" s="73"/>
      <c r="I3" s="73"/>
      <c r="J3" s="73"/>
    </row>
    <row r="4" spans="1:12" ht="34.15" customHeight="1">
      <c r="A4" s="79" t="s">
        <v>39</v>
      </c>
      <c r="B4" s="79"/>
      <c r="C4" s="79"/>
      <c r="D4" s="79"/>
      <c r="E4" s="79"/>
      <c r="F4" s="79"/>
      <c r="G4" s="79"/>
      <c r="H4" s="79"/>
      <c r="I4" s="79"/>
      <c r="J4" s="79"/>
    </row>
    <row r="5" spans="1:12" ht="18.75">
      <c r="A5" s="80" t="s">
        <v>41</v>
      </c>
      <c r="B5" s="80"/>
      <c r="C5" s="80"/>
      <c r="D5" s="80"/>
      <c r="E5" s="80"/>
      <c r="F5" s="80"/>
      <c r="G5" s="80"/>
      <c r="H5" s="80"/>
      <c r="I5" s="80"/>
      <c r="J5" s="80"/>
    </row>
    <row r="6" spans="1:12" ht="15.75" customHeight="1">
      <c r="A6" s="90" t="s">
        <v>49</v>
      </c>
      <c r="B6" s="90"/>
      <c r="C6" s="90"/>
      <c r="D6" s="90"/>
      <c r="E6" s="90"/>
      <c r="F6" s="90"/>
      <c r="G6" s="90"/>
      <c r="H6" s="90"/>
      <c r="I6" s="90"/>
      <c r="J6" s="90"/>
    </row>
    <row r="7" spans="1:12" ht="18" customHeight="1" thickBot="1"/>
    <row r="8" spans="1:12" ht="24" customHeight="1" thickBot="1">
      <c r="A8" s="92" t="s">
        <v>48</v>
      </c>
      <c r="B8" s="92"/>
      <c r="C8" s="92"/>
      <c r="D8" s="92"/>
      <c r="E8" s="92"/>
      <c r="F8" s="66">
        <v>100</v>
      </c>
      <c r="G8" s="33"/>
    </row>
    <row r="9" spans="1:12" ht="24" customHeight="1" thickBot="1">
      <c r="A9" s="81" t="s">
        <v>50</v>
      </c>
      <c r="B9" s="81"/>
      <c r="C9" s="81"/>
      <c r="D9" s="81"/>
      <c r="E9" s="81"/>
      <c r="F9" s="45" t="s">
        <v>45</v>
      </c>
      <c r="G9" s="33"/>
    </row>
    <row r="10" spans="1:12" ht="24" customHeight="1" thickBot="1">
      <c r="A10" s="91" t="s">
        <v>0</v>
      </c>
      <c r="B10" s="91"/>
      <c r="C10" s="91"/>
      <c r="D10" s="91"/>
      <c r="E10" s="91"/>
      <c r="F10" s="46">
        <f>F8*0.3</f>
        <v>30</v>
      </c>
      <c r="G10" s="33"/>
    </row>
    <row r="11" spans="1:12" ht="24" customHeight="1" thickBot="1">
      <c r="A11" s="91" t="s">
        <v>1</v>
      </c>
      <c r="B11" s="91"/>
      <c r="C11" s="91"/>
      <c r="D11" s="91"/>
      <c r="E11" s="91"/>
      <c r="F11" s="46">
        <f>F10*0.1</f>
        <v>3</v>
      </c>
      <c r="G11" s="33"/>
    </row>
    <row r="12" spans="1:12" ht="24" customHeight="1" thickBot="1">
      <c r="A12" s="81" t="s">
        <v>52</v>
      </c>
      <c r="B12" s="81"/>
      <c r="C12" s="81"/>
      <c r="D12" s="81"/>
      <c r="E12" s="81"/>
      <c r="F12" s="45" t="s">
        <v>45</v>
      </c>
      <c r="H12" s="33"/>
    </row>
    <row r="13" spans="1:12" ht="24" customHeight="1" thickBot="1">
      <c r="A13" s="91" t="s">
        <v>53</v>
      </c>
      <c r="B13" s="91"/>
      <c r="C13" s="91"/>
      <c r="D13" s="91"/>
      <c r="E13" s="91"/>
      <c r="F13" s="46">
        <f>J32*6</f>
        <v>18</v>
      </c>
      <c r="G13" s="34"/>
      <c r="H13" s="34"/>
      <c r="I13" s="34"/>
      <c r="J13" s="34"/>
      <c r="K13" s="34"/>
      <c r="L13" s="34"/>
    </row>
    <row r="14" spans="1:12" ht="24" customHeight="1" thickBot="1">
      <c r="A14" s="81" t="s">
        <v>54</v>
      </c>
      <c r="B14" s="81"/>
      <c r="C14" s="81"/>
      <c r="D14" s="81"/>
      <c r="E14" s="81"/>
      <c r="F14" s="45" t="s">
        <v>51</v>
      </c>
      <c r="G14" s="65"/>
    </row>
    <row r="15" spans="1:12" ht="24" customHeight="1" thickBot="1">
      <c r="A15" s="83" t="s">
        <v>87</v>
      </c>
      <c r="B15" s="84"/>
      <c r="C15" s="84"/>
      <c r="D15" s="84"/>
      <c r="E15" s="85"/>
      <c r="F15" s="45" t="s">
        <v>45</v>
      </c>
      <c r="G15" s="65"/>
    </row>
    <row r="16" spans="1:12" ht="24" customHeight="1" thickBot="1">
      <c r="A16" s="91" t="s">
        <v>70</v>
      </c>
      <c r="B16" s="91"/>
      <c r="C16" s="91"/>
      <c r="D16" s="91"/>
      <c r="E16" s="91"/>
      <c r="F16" s="46">
        <f>F8*0.02</f>
        <v>2</v>
      </c>
    </row>
    <row r="17" spans="1:11" ht="24" customHeight="1" thickBot="1">
      <c r="A17" s="91" t="s">
        <v>2</v>
      </c>
      <c r="B17" s="91"/>
      <c r="C17" s="91"/>
      <c r="D17" s="91"/>
      <c r="E17" s="91"/>
      <c r="F17" s="66">
        <v>2</v>
      </c>
    </row>
    <row r="18" spans="1:11" ht="24" customHeight="1" thickBot="1">
      <c r="A18" s="91" t="s">
        <v>55</v>
      </c>
      <c r="B18" s="91"/>
      <c r="C18" s="91"/>
      <c r="D18" s="91"/>
      <c r="E18" s="91"/>
      <c r="F18" s="66">
        <v>365</v>
      </c>
    </row>
    <row r="19" spans="1:11" ht="24" customHeight="1" thickBot="1">
      <c r="A19" s="81" t="s">
        <v>56</v>
      </c>
      <c r="B19" s="81"/>
      <c r="C19" s="81"/>
      <c r="D19" s="81"/>
      <c r="E19" s="81"/>
      <c r="F19" s="45" t="s">
        <v>51</v>
      </c>
    </row>
    <row r="20" spans="1:11" ht="24" customHeight="1" thickBot="1">
      <c r="A20" s="91" t="s">
        <v>57</v>
      </c>
      <c r="B20" s="91"/>
      <c r="C20" s="91"/>
      <c r="D20" s="91"/>
      <c r="E20" s="91"/>
      <c r="F20" s="66">
        <v>1</v>
      </c>
    </row>
    <row r="21" spans="1:11" ht="24" customHeight="1" thickBot="1">
      <c r="A21" s="81" t="s">
        <v>58</v>
      </c>
      <c r="B21" s="81"/>
      <c r="C21" s="81"/>
      <c r="D21" s="81"/>
      <c r="E21" s="81"/>
      <c r="F21" s="45" t="s">
        <v>51</v>
      </c>
    </row>
    <row r="22" spans="1:11" ht="24" customHeight="1" thickBot="1">
      <c r="A22" s="81" t="s">
        <v>59</v>
      </c>
      <c r="B22" s="81"/>
      <c r="C22" s="81"/>
      <c r="D22" s="81"/>
      <c r="E22" s="81"/>
      <c r="F22" s="45" t="s">
        <v>51</v>
      </c>
    </row>
    <row r="23" spans="1:11" ht="24" customHeight="1" thickBot="1">
      <c r="A23" s="81" t="s">
        <v>60</v>
      </c>
      <c r="B23" s="81"/>
      <c r="C23" s="81"/>
      <c r="D23" s="81"/>
      <c r="E23" s="81"/>
      <c r="F23" s="45" t="s">
        <v>51</v>
      </c>
    </row>
    <row r="24" spans="1:11">
      <c r="A24" s="32"/>
      <c r="B24" s="32"/>
      <c r="C24" s="32"/>
      <c r="D24" s="32"/>
      <c r="E24" s="32"/>
    </row>
    <row r="25" spans="1:11">
      <c r="A25" s="32"/>
      <c r="B25" s="32"/>
      <c r="C25" s="32"/>
      <c r="D25" s="32"/>
      <c r="E25" s="32"/>
    </row>
    <row r="26" spans="1:11" ht="138.75" customHeight="1">
      <c r="A26" s="35" t="s">
        <v>3</v>
      </c>
      <c r="B26" s="36" t="s">
        <v>4</v>
      </c>
      <c r="C26" s="36" t="s">
        <v>5</v>
      </c>
      <c r="D26" s="36" t="s">
        <v>6</v>
      </c>
      <c r="E26" s="36" t="s">
        <v>20</v>
      </c>
      <c r="F26" s="36" t="s">
        <v>7</v>
      </c>
      <c r="G26" s="36" t="s">
        <v>19</v>
      </c>
      <c r="H26" s="36" t="s">
        <v>21</v>
      </c>
      <c r="I26" s="36" t="s">
        <v>8</v>
      </c>
      <c r="J26" s="37" t="s">
        <v>22</v>
      </c>
      <c r="K26" s="87" t="s">
        <v>18</v>
      </c>
    </row>
    <row r="27" spans="1:11">
      <c r="A27" s="15" t="s">
        <v>9</v>
      </c>
      <c r="B27" s="4">
        <v>40</v>
      </c>
      <c r="C27" s="5">
        <f>$F$10*B27/100</f>
        <v>12</v>
      </c>
      <c r="D27" s="6">
        <v>2</v>
      </c>
      <c r="E27" s="6">
        <v>2</v>
      </c>
      <c r="F27" s="5">
        <f>ROUNDUP(C27/D27*E27,0)</f>
        <v>12</v>
      </c>
      <c r="G27" s="6">
        <v>10</v>
      </c>
      <c r="H27" s="6">
        <v>60</v>
      </c>
      <c r="I27" s="5">
        <f t="shared" ref="I27:I29" si="0">ROUNDUP(C27/D27,0)</f>
        <v>6</v>
      </c>
      <c r="J27" s="16">
        <v>1</v>
      </c>
      <c r="K27" s="88"/>
    </row>
    <row r="28" spans="1:11">
      <c r="A28" s="15" t="s">
        <v>10</v>
      </c>
      <c r="B28" s="4">
        <v>32</v>
      </c>
      <c r="C28" s="5">
        <f t="shared" ref="C28:C31" si="1">$F$10*B28/100</f>
        <v>9.6</v>
      </c>
      <c r="D28" s="6">
        <v>4</v>
      </c>
      <c r="E28" s="6">
        <v>3</v>
      </c>
      <c r="F28" s="5">
        <f t="shared" ref="F28:F29" si="2">ROUNDUP(C28/D28*E28,0)</f>
        <v>8</v>
      </c>
      <c r="G28" s="6">
        <v>10</v>
      </c>
      <c r="H28" s="6">
        <v>60</v>
      </c>
      <c r="I28" s="5">
        <f t="shared" si="0"/>
        <v>3</v>
      </c>
      <c r="J28" s="16">
        <v>2</v>
      </c>
      <c r="K28" s="88"/>
    </row>
    <row r="29" spans="1:11">
      <c r="A29" s="15" t="s">
        <v>11</v>
      </c>
      <c r="B29" s="4">
        <v>16</v>
      </c>
      <c r="C29" s="5">
        <f t="shared" si="1"/>
        <v>4.8</v>
      </c>
      <c r="D29" s="6">
        <v>8</v>
      </c>
      <c r="E29" s="6">
        <v>4</v>
      </c>
      <c r="F29" s="5">
        <f t="shared" si="2"/>
        <v>3</v>
      </c>
      <c r="G29" s="6">
        <v>10</v>
      </c>
      <c r="H29" s="6">
        <v>60</v>
      </c>
      <c r="I29" s="5">
        <f t="shared" si="0"/>
        <v>1</v>
      </c>
      <c r="J29" s="16">
        <v>3</v>
      </c>
      <c r="K29" s="88"/>
    </row>
    <row r="30" spans="1:11">
      <c r="A30" s="15" t="s">
        <v>12</v>
      </c>
      <c r="B30" s="4">
        <v>10</v>
      </c>
      <c r="C30" s="5">
        <f t="shared" si="1"/>
        <v>3</v>
      </c>
      <c r="D30" s="6">
        <v>20</v>
      </c>
      <c r="E30" s="6">
        <v>4</v>
      </c>
      <c r="F30" s="5">
        <f>ROUNDUP(C30/D30*E30,0)</f>
        <v>1</v>
      </c>
      <c r="G30" s="6">
        <v>10</v>
      </c>
      <c r="H30" s="6">
        <v>60</v>
      </c>
      <c r="I30" s="5">
        <f>ROUNDUP(C30/D30,0)</f>
        <v>1</v>
      </c>
      <c r="J30" s="16">
        <v>5</v>
      </c>
      <c r="K30" s="88"/>
    </row>
    <row r="31" spans="1:11">
      <c r="A31" s="15" t="s">
        <v>13</v>
      </c>
      <c r="B31" s="4">
        <v>2</v>
      </c>
      <c r="C31" s="5">
        <f t="shared" si="1"/>
        <v>0.6</v>
      </c>
      <c r="D31" s="6">
        <v>50</v>
      </c>
      <c r="E31" s="6">
        <v>3</v>
      </c>
      <c r="F31" s="5">
        <f>ROUNDUP(C31/D31*E31,0)</f>
        <v>1</v>
      </c>
      <c r="G31" s="6">
        <v>10</v>
      </c>
      <c r="H31" s="6">
        <v>70</v>
      </c>
      <c r="I31" s="5">
        <f>ROUNDUP(C31/D31,0)</f>
        <v>1</v>
      </c>
      <c r="J31" s="16">
        <v>7</v>
      </c>
      <c r="K31" s="88"/>
    </row>
    <row r="32" spans="1:11" ht="16.5" thickBot="1">
      <c r="A32" s="17" t="s">
        <v>14</v>
      </c>
      <c r="B32" s="18">
        <f>SUM(B27:B31)</f>
        <v>100</v>
      </c>
      <c r="C32" s="18">
        <f>SUM(C27:C31)</f>
        <v>30.000000000000004</v>
      </c>
      <c r="D32" s="19"/>
      <c r="E32" s="19"/>
      <c r="F32" s="18">
        <f>SUM(F27:F31)</f>
        <v>25</v>
      </c>
      <c r="G32" s="18">
        <f>ROUNDUP(C27*G27/100+C28*G28/100+C29*G29/100+C30*G30/100+C31*G31/100,0)</f>
        <v>3</v>
      </c>
      <c r="H32" s="18">
        <f>ROUNDUP(C27*H27/100+C28*H28/100+C29*H29/100+C30*H30/100,0)</f>
        <v>18</v>
      </c>
      <c r="I32" s="18">
        <f>SUM(I27:I31)</f>
        <v>12</v>
      </c>
      <c r="J32" s="30">
        <f>IF(ROUNDUP(I27*J27/100+I28*J28/100+I29*J29/100+I30*J30/100+I31*J31/100,0)&lt;3,3,ROUNDUP(I27*J27/100+I28*J28/100+I29*J29/100+I30*J30/100+I31*J31/100,0))</f>
        <v>3</v>
      </c>
      <c r="K32" s="88"/>
    </row>
    <row r="33" spans="1:12" ht="16.149999999999999" customHeight="1">
      <c r="A33" s="1"/>
      <c r="F33" s="82" t="s">
        <v>62</v>
      </c>
      <c r="G33" s="82"/>
      <c r="H33" s="82"/>
      <c r="I33" s="82"/>
      <c r="J33" s="82"/>
      <c r="K33" s="82"/>
    </row>
    <row r="34" spans="1:12">
      <c r="F34" s="82"/>
      <c r="G34" s="82"/>
      <c r="H34" s="82"/>
      <c r="I34" s="82"/>
      <c r="J34" s="82"/>
      <c r="K34" s="82"/>
    </row>
    <row r="35" spans="1:12" ht="60" customHeight="1">
      <c r="F35" s="82"/>
      <c r="G35" s="82"/>
      <c r="H35" s="82"/>
      <c r="I35" s="82"/>
      <c r="J35" s="82"/>
      <c r="K35" s="82"/>
    </row>
    <row r="36" spans="1:12" ht="18.600000000000001" customHeight="1"/>
    <row r="37" spans="1:12">
      <c r="A37" s="89" t="s">
        <v>61</v>
      </c>
      <c r="B37" s="89"/>
      <c r="C37" s="89"/>
      <c r="D37" s="89"/>
      <c r="E37" s="89"/>
    </row>
    <row r="38" spans="1:12">
      <c r="A38" s="2" t="s">
        <v>43</v>
      </c>
      <c r="B38" s="29"/>
      <c r="C38" s="29"/>
      <c r="D38" s="29"/>
      <c r="E38" s="29"/>
    </row>
    <row r="39" spans="1:12" ht="16.149999999999999" customHeight="1">
      <c r="A39" s="74" t="s">
        <v>37</v>
      </c>
      <c r="B39" s="74"/>
      <c r="C39" s="74"/>
      <c r="D39" s="74"/>
      <c r="E39" s="74"/>
    </row>
    <row r="40" spans="1:12">
      <c r="A40" s="74"/>
      <c r="B40" s="74"/>
      <c r="C40" s="74"/>
      <c r="D40" s="74"/>
      <c r="E40" s="74"/>
    </row>
    <row r="41" spans="1:12">
      <c r="A41" s="74"/>
      <c r="B41" s="74"/>
      <c r="C41" s="74"/>
      <c r="D41" s="74"/>
      <c r="E41" s="74"/>
    </row>
    <row r="42" spans="1:12" ht="16.5" thickBot="1">
      <c r="A42" s="74"/>
      <c r="B42" s="74"/>
      <c r="C42" s="74"/>
      <c r="D42" s="74"/>
      <c r="E42" s="74"/>
    </row>
    <row r="43" spans="1:12" ht="16.5" thickBot="1">
      <c r="A43" s="21"/>
      <c r="B43" s="21"/>
      <c r="C43" s="21"/>
      <c r="D43" s="21"/>
      <c r="E43" s="21"/>
    </row>
    <row r="44" spans="1:12" ht="66" customHeight="1" thickBot="1">
      <c r="A44" s="38" t="s">
        <v>29</v>
      </c>
      <c r="B44" s="39" t="s">
        <v>25</v>
      </c>
      <c r="C44" s="40" t="s">
        <v>32</v>
      </c>
      <c r="D44" s="40" t="s">
        <v>28</v>
      </c>
      <c r="E44" s="40" t="s">
        <v>26</v>
      </c>
      <c r="G44" s="75" t="s">
        <v>46</v>
      </c>
      <c r="H44" s="76"/>
      <c r="I44" s="76"/>
      <c r="J44" s="76"/>
      <c r="K44" s="23" t="s">
        <v>24</v>
      </c>
      <c r="L44" s="24" t="s">
        <v>23</v>
      </c>
    </row>
    <row r="45" spans="1:12" ht="16.5" customHeight="1">
      <c r="A45" s="57" t="s">
        <v>63</v>
      </c>
      <c r="B45" s="47"/>
      <c r="C45" s="50">
        <f>IF(F9="Нет",0,MROUND(ROUNDUP(K45/500, 0),2))</f>
        <v>2</v>
      </c>
      <c r="D45" s="50">
        <f>C45*2</f>
        <v>4</v>
      </c>
      <c r="E45" s="47"/>
      <c r="G45" s="77" t="s">
        <v>64</v>
      </c>
      <c r="H45" s="78"/>
      <c r="I45" s="78"/>
      <c r="J45" s="78"/>
      <c r="K45" s="42">
        <f>F10</f>
        <v>30</v>
      </c>
      <c r="L45" s="43"/>
    </row>
    <row r="46" spans="1:12" ht="16.5" customHeight="1">
      <c r="A46" s="55" t="s">
        <v>17</v>
      </c>
      <c r="B46" s="48"/>
      <c r="C46" s="50">
        <f>IF(F9="Нет",0,MROUND(ROUNDUP(K46/100, 0),2))</f>
        <v>2</v>
      </c>
      <c r="D46" s="49">
        <f>C46</f>
        <v>2</v>
      </c>
      <c r="E46" s="48"/>
      <c r="G46" s="77" t="s">
        <v>42</v>
      </c>
      <c r="H46" s="78"/>
      <c r="I46" s="78"/>
      <c r="J46" s="78"/>
      <c r="K46" s="42">
        <f>F11</f>
        <v>3</v>
      </c>
      <c r="L46" s="43"/>
    </row>
    <row r="47" spans="1:12" ht="16.5" customHeight="1">
      <c r="A47" s="56" t="s">
        <v>15</v>
      </c>
      <c r="B47" s="48"/>
      <c r="C47" s="50">
        <f>IF(F9="Нет",0,MROUND(ROUNDUP(K47/100, 0),2))</f>
        <v>2</v>
      </c>
      <c r="D47" s="49">
        <f t="shared" ref="D47:D53" si="3">C47*2</f>
        <v>4</v>
      </c>
      <c r="E47" s="48"/>
      <c r="G47" s="86" t="s">
        <v>16</v>
      </c>
      <c r="H47" s="78"/>
      <c r="I47" s="78"/>
      <c r="J47" s="78"/>
      <c r="K47" s="42">
        <f>F32*3+G32+H32</f>
        <v>96</v>
      </c>
      <c r="L47" s="44"/>
    </row>
    <row r="48" spans="1:12" ht="16.5" customHeight="1">
      <c r="A48" s="51" t="s">
        <v>65</v>
      </c>
      <c r="B48" s="48"/>
      <c r="C48" s="49">
        <f>IF(OR(F12="Нет",F9="Нет"),0,MROUND(ROUNDUP(K48*2+L48/6,0),2))</f>
        <v>10</v>
      </c>
      <c r="D48" s="49">
        <f t="shared" si="3"/>
        <v>20</v>
      </c>
      <c r="E48" s="48"/>
      <c r="G48" s="77" t="s">
        <v>30</v>
      </c>
      <c r="H48" s="78"/>
      <c r="I48" s="78"/>
      <c r="J48" s="78"/>
      <c r="K48" s="42">
        <f>J32</f>
        <v>3</v>
      </c>
      <c r="L48" s="43">
        <f>F13</f>
        <v>18</v>
      </c>
    </row>
    <row r="49" spans="1:12" ht="16.5" customHeight="1">
      <c r="A49" s="56" t="s">
        <v>66</v>
      </c>
      <c r="B49" s="48"/>
      <c r="C49" s="49">
        <f>IF(F19="Нет",0,K49*2)</f>
        <v>0</v>
      </c>
      <c r="D49" s="49">
        <f t="shared" si="3"/>
        <v>0</v>
      </c>
      <c r="E49" s="48"/>
      <c r="G49" s="86" t="s">
        <v>67</v>
      </c>
      <c r="H49" s="78"/>
      <c r="I49" s="78"/>
      <c r="J49" s="78"/>
      <c r="K49" s="42">
        <f>F20</f>
        <v>1</v>
      </c>
      <c r="L49" s="43"/>
    </row>
    <row r="50" spans="1:12" ht="16.5" customHeight="1">
      <c r="A50" s="58" t="s">
        <v>68</v>
      </c>
      <c r="B50" s="48"/>
      <c r="C50" s="49">
        <f>IF(F14="Нет",0,MROUND(ROUNDUP(K50/500,0),2))</f>
        <v>0</v>
      </c>
      <c r="D50" s="49">
        <f t="shared" si="3"/>
        <v>0</v>
      </c>
      <c r="E50" s="48"/>
      <c r="G50" s="77" t="s">
        <v>69</v>
      </c>
      <c r="H50" s="78"/>
      <c r="I50" s="78"/>
      <c r="J50" s="78"/>
      <c r="K50" s="42">
        <f>F16</f>
        <v>2</v>
      </c>
      <c r="L50" s="43"/>
    </row>
    <row r="51" spans="1:12" ht="33" customHeight="1">
      <c r="A51" s="52" t="s">
        <v>71</v>
      </c>
      <c r="B51" s="48"/>
      <c r="C51" s="49">
        <f>IF(F14="Нет",0,MROUND(ROUNDUP(K51/1000,0),2))</f>
        <v>0</v>
      </c>
      <c r="D51" s="49">
        <f t="shared" si="3"/>
        <v>0</v>
      </c>
      <c r="E51" s="48"/>
      <c r="G51" s="77" t="s">
        <v>72</v>
      </c>
      <c r="H51" s="78"/>
      <c r="I51" s="78"/>
      <c r="J51" s="78"/>
      <c r="K51" s="42">
        <f>F16</f>
        <v>2</v>
      </c>
      <c r="L51" s="43"/>
    </row>
    <row r="52" spans="1:12" ht="16.5" customHeight="1">
      <c r="A52" s="52" t="s">
        <v>73</v>
      </c>
      <c r="B52" s="48"/>
      <c r="C52" s="49">
        <f>IF(F14="Нет",0,MROUND(ROUNDUP(K52/6,0),2))</f>
        <v>0</v>
      </c>
      <c r="D52" s="49">
        <f t="shared" si="3"/>
        <v>0</v>
      </c>
      <c r="E52" s="48"/>
      <c r="G52" s="77" t="s">
        <v>74</v>
      </c>
      <c r="H52" s="78"/>
      <c r="I52" s="78"/>
      <c r="J52" s="78"/>
      <c r="K52" s="42">
        <f>F13+F17</f>
        <v>20</v>
      </c>
      <c r="L52" s="43"/>
    </row>
    <row r="53" spans="1:12" ht="16.5" customHeight="1">
      <c r="A53" s="52" t="s">
        <v>75</v>
      </c>
      <c r="B53" s="48"/>
      <c r="C53" s="49">
        <f>IF(F14="Нет",0,MROUND(ROUNDUP(K53/1000,0),2))</f>
        <v>0</v>
      </c>
      <c r="D53" s="49">
        <f t="shared" si="3"/>
        <v>0</v>
      </c>
      <c r="E53" s="48"/>
      <c r="G53" s="100" t="s">
        <v>76</v>
      </c>
      <c r="H53" s="101"/>
      <c r="I53" s="101"/>
      <c r="J53" s="102"/>
      <c r="K53" s="42">
        <f>F16</f>
        <v>2</v>
      </c>
      <c r="L53" s="43"/>
    </row>
    <row r="54" spans="1:12" ht="16.5" customHeight="1">
      <c r="A54" s="52" t="s">
        <v>85</v>
      </c>
      <c r="B54" s="49">
        <f>IF(AND(F14="Да",F15="Да"),1,0)</f>
        <v>0</v>
      </c>
      <c r="C54" s="49">
        <f>B54*8</f>
        <v>0</v>
      </c>
      <c r="D54" s="49">
        <f>B54*8</f>
        <v>0</v>
      </c>
      <c r="E54" s="48"/>
      <c r="G54" s="69"/>
      <c r="H54" s="70"/>
      <c r="I54" s="70"/>
      <c r="J54" s="71"/>
      <c r="K54" s="42"/>
      <c r="L54" s="43"/>
    </row>
    <row r="55" spans="1:12" ht="16.5" customHeight="1">
      <c r="A55" s="51" t="s">
        <v>78</v>
      </c>
      <c r="B55" s="49">
        <f>IF(F23="Нет",0,ROUNDUP(C55/8, 0))</f>
        <v>0</v>
      </c>
      <c r="C55" s="49">
        <f>IF(F23="Нет",0,ROUNDUP(K55/1000,0)*2)</f>
        <v>0</v>
      </c>
      <c r="D55" s="49">
        <f>C55</f>
        <v>0</v>
      </c>
      <c r="E55" s="48"/>
      <c r="G55" s="100" t="s">
        <v>81</v>
      </c>
      <c r="H55" s="103"/>
      <c r="I55" s="103"/>
      <c r="J55" s="104"/>
      <c r="K55" s="42">
        <f>F8</f>
        <v>100</v>
      </c>
      <c r="L55" s="43"/>
    </row>
    <row r="56" spans="1:12" ht="16.5" customHeight="1">
      <c r="A56" s="51" t="s">
        <v>79</v>
      </c>
      <c r="B56" s="49">
        <f>IF(AND(F21="Нет"),0,ROUNDUP(K56/2000, 0))</f>
        <v>0</v>
      </c>
      <c r="C56" s="49">
        <f>B56*4</f>
        <v>0</v>
      </c>
      <c r="D56" s="49">
        <f>B56*8</f>
        <v>0</v>
      </c>
      <c r="E56" s="48"/>
      <c r="G56" s="100" t="s">
        <v>82</v>
      </c>
      <c r="H56" s="103"/>
      <c r="I56" s="103"/>
      <c r="J56" s="104"/>
      <c r="K56" s="42">
        <f>F8</f>
        <v>100</v>
      </c>
      <c r="L56" s="43"/>
    </row>
    <row r="57" spans="1:12" ht="16.5" customHeight="1">
      <c r="A57" s="53" t="s">
        <v>80</v>
      </c>
      <c r="B57" s="49">
        <f>IF(AND(F22="Нет"),0,1)</f>
        <v>0</v>
      </c>
      <c r="C57" s="49">
        <f>B57*1</f>
        <v>0</v>
      </c>
      <c r="D57" s="49">
        <f>B57*1</f>
        <v>0</v>
      </c>
      <c r="E57" s="48"/>
      <c r="G57" s="100"/>
      <c r="H57" s="103"/>
      <c r="I57" s="103"/>
      <c r="J57" s="104"/>
      <c r="K57" s="42"/>
      <c r="L57" s="43"/>
    </row>
    <row r="58" spans="1:12" ht="16.5" customHeight="1" thickBot="1">
      <c r="A58" s="54" t="s">
        <v>77</v>
      </c>
      <c r="B58" s="49">
        <f>IF(AND(F12="Нет", F14="Нет"),0,1)</f>
        <v>1</v>
      </c>
      <c r="C58" s="49">
        <f>B58*4</f>
        <v>4</v>
      </c>
      <c r="D58" s="49">
        <f>B58*8</f>
        <v>8</v>
      </c>
      <c r="E58" s="48"/>
      <c r="G58" s="105"/>
      <c r="H58" s="106"/>
      <c r="I58" s="106"/>
      <c r="J58" s="107"/>
      <c r="K58" s="42"/>
      <c r="L58" s="43"/>
    </row>
    <row r="59" spans="1:12" ht="16.5" customHeight="1" thickBot="1">
      <c r="G59" s="108" t="s">
        <v>84</v>
      </c>
      <c r="H59" s="109"/>
      <c r="I59" s="109"/>
      <c r="J59" s="109"/>
      <c r="K59" s="109"/>
      <c r="L59" s="110"/>
    </row>
    <row r="61" spans="1:12" ht="15.75" customHeight="1">
      <c r="A61" s="93" t="s">
        <v>83</v>
      </c>
      <c r="B61" s="93"/>
      <c r="C61" s="93"/>
      <c r="D61" s="93"/>
      <c r="E61" s="93"/>
    </row>
    <row r="62" spans="1:12" ht="15.75" customHeight="1">
      <c r="A62" s="93"/>
      <c r="B62" s="93"/>
      <c r="C62" s="93"/>
      <c r="D62" s="93"/>
      <c r="E62" s="93"/>
    </row>
    <row r="63" spans="1:12" ht="16.149999999999999" customHeight="1">
      <c r="A63" s="93"/>
      <c r="B63" s="93"/>
      <c r="C63" s="93"/>
      <c r="D63" s="93"/>
      <c r="E63" s="93"/>
    </row>
    <row r="64" spans="1:12" ht="14.65" customHeight="1"/>
    <row r="65" spans="1:9" ht="16.5" customHeight="1" thickBot="1"/>
    <row r="66" spans="1:9">
      <c r="A66" s="94" t="s">
        <v>38</v>
      </c>
      <c r="B66" s="95"/>
      <c r="C66" s="95"/>
      <c r="D66" s="95"/>
      <c r="E66" s="95"/>
      <c r="F66" s="96"/>
    </row>
    <row r="67" spans="1:9" ht="16.5" thickBot="1">
      <c r="A67" s="97"/>
      <c r="B67" s="98"/>
      <c r="C67" s="98"/>
      <c r="D67" s="98"/>
      <c r="E67" s="98"/>
      <c r="F67" s="99"/>
    </row>
    <row r="68" spans="1:9" ht="52.5" customHeight="1">
      <c r="A68" s="14" t="s">
        <v>29</v>
      </c>
      <c r="B68" s="13" t="s">
        <v>25</v>
      </c>
      <c r="C68" s="7" t="s">
        <v>33</v>
      </c>
      <c r="D68" s="7" t="s">
        <v>31</v>
      </c>
      <c r="E68" s="7" t="s">
        <v>27</v>
      </c>
      <c r="F68" s="8" t="s">
        <v>44</v>
      </c>
      <c r="H68" s="25" t="s">
        <v>35</v>
      </c>
      <c r="I68" s="25" t="s">
        <v>36</v>
      </c>
    </row>
    <row r="69" spans="1:9" ht="16.5" customHeight="1">
      <c r="A69" s="59" t="s">
        <v>63</v>
      </c>
      <c r="B69" s="67">
        <f>IF(F9="Нет",0,ROUNDUP(C45/16,0))</f>
        <v>1</v>
      </c>
      <c r="C69" s="68">
        <f>IF(F9="Нет",0,MROUND(ROUNDUP(C45/B69,0),2))</f>
        <v>2</v>
      </c>
      <c r="D69" s="68">
        <f>C69*2</f>
        <v>4</v>
      </c>
      <c r="E69" s="10">
        <f>IF(B69=0,0,50)</f>
        <v>50</v>
      </c>
      <c r="F69" s="11"/>
      <c r="H69" s="3" t="str">
        <f t="shared" ref="H69:H82" si="4">IF(B69*C69&lt;C45, "добавьте cpu", "верно")</f>
        <v>верно</v>
      </c>
      <c r="I69" s="3" t="str">
        <f t="shared" ref="I69:I82" si="5">IF(B69*D69&lt;D45, "добавьте RAM", "верно")</f>
        <v>верно</v>
      </c>
    </row>
    <row r="70" spans="1:9" ht="16.5" customHeight="1">
      <c r="A70" s="60" t="s">
        <v>17</v>
      </c>
      <c r="B70" s="67">
        <f>IF(F9="Нет",0,ROUNDUP(C46/16,0))</f>
        <v>1</v>
      </c>
      <c r="C70" s="68">
        <f>IF(F9="Нет",0,MROUND(ROUNDUP(C46/B70,0),2))</f>
        <v>2</v>
      </c>
      <c r="D70" s="68">
        <f>C70</f>
        <v>2</v>
      </c>
      <c r="E70" s="10">
        <f>IF(B70=0,0,50)</f>
        <v>50</v>
      </c>
      <c r="F70" s="11">
        <f>IF(F9="Нет","",ROUNDUP((3*F11)/B70,0))</f>
        <v>9</v>
      </c>
      <c r="H70" s="3" t="str">
        <f t="shared" si="4"/>
        <v>верно</v>
      </c>
      <c r="I70" s="3" t="str">
        <f t="shared" si="5"/>
        <v>верно</v>
      </c>
    </row>
    <row r="71" spans="1:9" ht="16.5" customHeight="1">
      <c r="A71" s="61" t="s">
        <v>15</v>
      </c>
      <c r="B71" s="67">
        <f>IF(F9="Нет",0,ROUNDUP(C47/16,0))</f>
        <v>1</v>
      </c>
      <c r="C71" s="68">
        <f>IF(F9="Нет",0,MROUND(ROUNDUP(C47/B71,0),2))</f>
        <v>2</v>
      </c>
      <c r="D71" s="68">
        <f t="shared" ref="D71:D77" si="6">C71*2</f>
        <v>4</v>
      </c>
      <c r="E71" s="10">
        <f>IF(B71=0,0,50)</f>
        <v>50</v>
      </c>
      <c r="F71" s="11"/>
      <c r="H71" s="3" t="str">
        <f t="shared" si="4"/>
        <v>верно</v>
      </c>
      <c r="I71" s="3" t="str">
        <f t="shared" si="5"/>
        <v>верно</v>
      </c>
    </row>
    <row r="72" spans="1:9" ht="16.5" customHeight="1">
      <c r="A72" s="61" t="s">
        <v>65</v>
      </c>
      <c r="B72" s="67">
        <f>IF(OR(F12="Нет",F9="Нет"),0,ROUNDUP(C48/8,0))</f>
        <v>2</v>
      </c>
      <c r="C72" s="68">
        <f>IF(OR(F12="Нет",F9="Нет"),0,MROUND(ROUNDUP(C48/B72,0),2))</f>
        <v>6</v>
      </c>
      <c r="D72" s="68">
        <f t="shared" si="6"/>
        <v>12</v>
      </c>
      <c r="E72" s="10">
        <f>IF(B72=0,0,100)</f>
        <v>100</v>
      </c>
      <c r="F72" s="11"/>
      <c r="H72" s="3" t="str">
        <f t="shared" si="4"/>
        <v>верно</v>
      </c>
      <c r="I72" s="3" t="str">
        <f t="shared" si="5"/>
        <v>верно</v>
      </c>
    </row>
    <row r="73" spans="1:9" ht="16.5" customHeight="1">
      <c r="A73" s="61" t="s">
        <v>66</v>
      </c>
      <c r="B73" s="67">
        <f>IF(F19="Нет",0,ROUNDUP(C49/16,0))</f>
        <v>0</v>
      </c>
      <c r="C73" s="68">
        <f>IF(F19="Нет",0,MROUND(ROUNDUP(C49/B73,0),2))</f>
        <v>0</v>
      </c>
      <c r="D73" s="68">
        <f t="shared" si="6"/>
        <v>0</v>
      </c>
      <c r="E73" s="10">
        <f>IF(B73=0,0,100)</f>
        <v>0</v>
      </c>
      <c r="F73" s="11"/>
      <c r="H73" s="3" t="str">
        <f t="shared" si="4"/>
        <v>верно</v>
      </c>
      <c r="I73" s="3" t="str">
        <f t="shared" si="5"/>
        <v>верно</v>
      </c>
    </row>
    <row r="74" spans="1:9" ht="16.5" customHeight="1">
      <c r="A74" s="62" t="s">
        <v>68</v>
      </c>
      <c r="B74" s="67">
        <f>IF(F14="Нет",0,ROUNDUP(C50/16,0))</f>
        <v>0</v>
      </c>
      <c r="C74" s="68">
        <f>IF(F14="Нет",0,MROUND(ROUNDUP(C50/B74,0),2))</f>
        <v>0</v>
      </c>
      <c r="D74" s="68">
        <f t="shared" si="6"/>
        <v>0</v>
      </c>
      <c r="E74" s="10">
        <f>IF(B74=0,0,100)</f>
        <v>0</v>
      </c>
      <c r="F74" s="12" t="str">
        <f>IF(F14="Нет","",ROUNDUP((F16*6)/B74, 0))</f>
        <v/>
      </c>
      <c r="H74" s="3" t="str">
        <f t="shared" si="4"/>
        <v>верно</v>
      </c>
      <c r="I74" s="3" t="str">
        <f t="shared" si="5"/>
        <v>верно</v>
      </c>
    </row>
    <row r="75" spans="1:9" ht="33" customHeight="1">
      <c r="A75" s="62" t="s">
        <v>71</v>
      </c>
      <c r="B75" s="67">
        <f>IF(F14="Нет",0,ROUNDUP(C51/16,0))</f>
        <v>0</v>
      </c>
      <c r="C75" s="68">
        <f>IF(F14="Нет",0,MROUND(ROUNDUP(C51/B75,0),2))</f>
        <v>0</v>
      </c>
      <c r="D75" s="68">
        <f t="shared" si="6"/>
        <v>0</v>
      </c>
      <c r="E75" s="10">
        <f>IF(B75=0,0,100)</f>
        <v>0</v>
      </c>
      <c r="F75" s="12"/>
      <c r="H75" s="3" t="str">
        <f t="shared" si="4"/>
        <v>верно</v>
      </c>
      <c r="I75" s="3" t="str">
        <f t="shared" si="5"/>
        <v>верно</v>
      </c>
    </row>
    <row r="76" spans="1:9" ht="16.5" customHeight="1">
      <c r="A76" s="62" t="s">
        <v>73</v>
      </c>
      <c r="B76" s="67">
        <f>IF(F14="Нет",0,ROUNDUP(C52/16,0))</f>
        <v>0</v>
      </c>
      <c r="C76" s="68">
        <f>IF(F14="Нет",0,MROUND(ROUNDUP(C52/B76,0),2))</f>
        <v>0</v>
      </c>
      <c r="D76" s="68">
        <f t="shared" si="6"/>
        <v>0</v>
      </c>
      <c r="E76" s="10">
        <f>IF(B76=0,0,100)</f>
        <v>0</v>
      </c>
      <c r="F76" s="12"/>
      <c r="H76" s="3" t="str">
        <f t="shared" si="4"/>
        <v>верно</v>
      </c>
      <c r="I76" s="3" t="str">
        <f t="shared" si="5"/>
        <v>верно</v>
      </c>
    </row>
    <row r="77" spans="1:9" ht="16.5" customHeight="1">
      <c r="A77" s="62" t="s">
        <v>75</v>
      </c>
      <c r="B77" s="67">
        <f>IF(F14="Нет",0,ROUNDUP(C53/16,0))</f>
        <v>0</v>
      </c>
      <c r="C77" s="68">
        <f>IF(F14="Нет",0,MROUND(ROUNDUP(C53/B77,0),2))</f>
        <v>0</v>
      </c>
      <c r="D77" s="68">
        <f t="shared" si="6"/>
        <v>0</v>
      </c>
      <c r="E77" s="10">
        <f t="shared" ref="E77:E79" si="7">IF(B77=0,0,100)</f>
        <v>0</v>
      </c>
      <c r="F77" s="20"/>
      <c r="H77" s="3" t="str">
        <f t="shared" si="4"/>
        <v>верно</v>
      </c>
      <c r="I77" s="3" t="str">
        <f t="shared" si="5"/>
        <v>верно</v>
      </c>
    </row>
    <row r="78" spans="1:9" ht="16.5" customHeight="1">
      <c r="A78" s="61" t="s">
        <v>85</v>
      </c>
      <c r="B78" s="10">
        <f>B54</f>
        <v>0</v>
      </c>
      <c r="C78" s="10">
        <f>C54</f>
        <v>0</v>
      </c>
      <c r="D78" s="10">
        <f>D54</f>
        <v>0</v>
      </c>
      <c r="E78" s="10"/>
      <c r="F78" s="20"/>
      <c r="H78" s="3" t="str">
        <f t="shared" si="4"/>
        <v>верно</v>
      </c>
      <c r="I78" s="3" t="str">
        <f t="shared" si="5"/>
        <v>верно</v>
      </c>
    </row>
    <row r="79" spans="1:9" ht="16.5" customHeight="1">
      <c r="A79" s="61" t="s">
        <v>78</v>
      </c>
      <c r="B79" s="10">
        <f>B55</f>
        <v>0</v>
      </c>
      <c r="C79" s="10">
        <f>IF(F23="Нет",0,MROUND(C55/B55,2))</f>
        <v>0</v>
      </c>
      <c r="D79" s="10">
        <f>IF(F23="Нет",0,MROUND(D55/B55,2))</f>
        <v>0</v>
      </c>
      <c r="E79" s="10">
        <f t="shared" si="7"/>
        <v>0</v>
      </c>
      <c r="F79" s="20"/>
      <c r="H79" s="3" t="str">
        <f t="shared" si="4"/>
        <v>верно</v>
      </c>
      <c r="I79" s="3" t="str">
        <f t="shared" si="5"/>
        <v>верно</v>
      </c>
    </row>
    <row r="80" spans="1:9" ht="16.5" customHeight="1">
      <c r="A80" s="61" t="s">
        <v>79</v>
      </c>
      <c r="B80" s="10">
        <f>B56</f>
        <v>0</v>
      </c>
      <c r="C80" s="10">
        <f>IF(B80=0,0,4)</f>
        <v>0</v>
      </c>
      <c r="D80" s="10">
        <f>C80*2</f>
        <v>0</v>
      </c>
      <c r="E80" s="10">
        <f>IF(B80=0,0,50)</f>
        <v>0</v>
      </c>
      <c r="F80" s="9"/>
      <c r="H80" s="3" t="str">
        <f t="shared" si="4"/>
        <v>верно</v>
      </c>
      <c r="I80" s="3" t="str">
        <f t="shared" si="5"/>
        <v>верно</v>
      </c>
    </row>
    <row r="81" spans="1:9" ht="16.5" customHeight="1">
      <c r="A81" s="63" t="s">
        <v>80</v>
      </c>
      <c r="B81" s="10">
        <f>B57</f>
        <v>0</v>
      </c>
      <c r="C81" s="10">
        <f>IF(B81=0,0,1)</f>
        <v>0</v>
      </c>
      <c r="D81" s="10">
        <f>C81</f>
        <v>0</v>
      </c>
      <c r="E81" s="10">
        <f>IF(B81=0,0,20)</f>
        <v>0</v>
      </c>
      <c r="F81" s="9"/>
      <c r="H81" s="3" t="str">
        <f t="shared" si="4"/>
        <v>верно</v>
      </c>
      <c r="I81" s="3" t="str">
        <f t="shared" si="5"/>
        <v>верно</v>
      </c>
    </row>
    <row r="82" spans="1:9" ht="16.5" customHeight="1" thickBot="1">
      <c r="A82" s="64" t="s">
        <v>77</v>
      </c>
      <c r="B82" s="10">
        <f>IF(AND(F12="Нет", F14="Нет"),0,1)</f>
        <v>1</v>
      </c>
      <c r="C82" s="10">
        <f>B82*4</f>
        <v>4</v>
      </c>
      <c r="D82" s="10">
        <f>B82*8</f>
        <v>8</v>
      </c>
      <c r="E82" s="10">
        <f>IF(B82=0,0,100+(F17+F13)*F18)</f>
        <v>7400</v>
      </c>
      <c r="F82" s="9"/>
      <c r="H82" s="3" t="str">
        <f t="shared" si="4"/>
        <v>верно</v>
      </c>
      <c r="I82" s="3" t="str">
        <f t="shared" si="5"/>
        <v>верно</v>
      </c>
    </row>
    <row r="83" spans="1:9" ht="16.5" customHeight="1" thickBot="1">
      <c r="A83" s="26" t="s">
        <v>34</v>
      </c>
      <c r="B83" s="27">
        <f>SUM(B69:B82)</f>
        <v>6</v>
      </c>
      <c r="C83" s="27">
        <f>SUMPRODUCT(B69:B82,C69:C82)</f>
        <v>22</v>
      </c>
      <c r="D83" s="27">
        <f>SUMPRODUCT(B69:B82,D69:D82)</f>
        <v>42</v>
      </c>
      <c r="E83" s="27">
        <f>SUMPRODUCT(B69:B82,E69:E82)</f>
        <v>7750</v>
      </c>
      <c r="F83" s="28"/>
    </row>
    <row r="89" spans="1:9" ht="15.75" customHeight="1"/>
  </sheetData>
  <mergeCells count="41">
    <mergeCell ref="A61:E63"/>
    <mergeCell ref="A66:F67"/>
    <mergeCell ref="G53:J53"/>
    <mergeCell ref="G56:J56"/>
    <mergeCell ref="G57:J57"/>
    <mergeCell ref="G58:J58"/>
    <mergeCell ref="G59:L59"/>
    <mergeCell ref="G55:J55"/>
    <mergeCell ref="G47:J47"/>
    <mergeCell ref="A6:J6"/>
    <mergeCell ref="A9:E9"/>
    <mergeCell ref="A12:E12"/>
    <mergeCell ref="A13:E13"/>
    <mergeCell ref="A14:E14"/>
    <mergeCell ref="A16:E16"/>
    <mergeCell ref="A17:E17"/>
    <mergeCell ref="A18:E18"/>
    <mergeCell ref="A19:E19"/>
    <mergeCell ref="A8:E8"/>
    <mergeCell ref="A10:E10"/>
    <mergeCell ref="A11:E11"/>
    <mergeCell ref="A20:E20"/>
    <mergeCell ref="G48:J48"/>
    <mergeCell ref="G49:J49"/>
    <mergeCell ref="G50:J50"/>
    <mergeCell ref="G51:J51"/>
    <mergeCell ref="G52:J52"/>
    <mergeCell ref="A3:J3"/>
    <mergeCell ref="A39:E42"/>
    <mergeCell ref="G44:J44"/>
    <mergeCell ref="G45:J45"/>
    <mergeCell ref="G46:J46"/>
    <mergeCell ref="A4:J4"/>
    <mergeCell ref="A5:J5"/>
    <mergeCell ref="A21:E21"/>
    <mergeCell ref="A22:E22"/>
    <mergeCell ref="A23:E23"/>
    <mergeCell ref="F33:K35"/>
    <mergeCell ref="A15:E15"/>
    <mergeCell ref="K26:K32"/>
    <mergeCell ref="A37:E37"/>
  </mergeCells>
  <conditionalFormatting sqref="F10:F13">
    <cfRule type="expression" dxfId="6" priority="8">
      <formula>($F$9="Нет")</formula>
    </cfRule>
  </conditionalFormatting>
  <conditionalFormatting sqref="F13">
    <cfRule type="expression" dxfId="5" priority="7">
      <formula>($F$12="Нет")</formula>
    </cfRule>
  </conditionalFormatting>
  <conditionalFormatting sqref="F16:F17">
    <cfRule type="expression" dxfId="4" priority="6">
      <formula>($F$14="Нет")</formula>
    </cfRule>
  </conditionalFormatting>
  <conditionalFormatting sqref="F18">
    <cfRule type="expression" dxfId="3" priority="4">
      <formula>AND($F$12="Нет",$F$14="Нет")</formula>
    </cfRule>
  </conditionalFormatting>
  <conditionalFormatting sqref="F20">
    <cfRule type="expression" dxfId="2" priority="3">
      <formula>($F$19="Нет")</formula>
    </cfRule>
  </conditionalFormatting>
  <conditionalFormatting sqref="H69:I82">
    <cfRule type="containsText" dxfId="1" priority="2" operator="containsText" text="добавьте">
      <formula>NOT(ISERROR(SEARCH("добавьте",H69)))</formula>
    </cfRule>
  </conditionalFormatting>
  <conditionalFormatting sqref="F15">
    <cfRule type="expression" dxfId="0" priority="1">
      <formula>($F$14="Нет")</formula>
    </cfRule>
  </conditionalFormatting>
  <dataValidations count="1">
    <dataValidation type="list" allowBlank="1" showInputMessage="1" showErrorMessage="1" sqref="F9 F12 F14:F15 F19 F21:F23" xr:uid="{7E9D4C0C-A8CB-457F-92D8-D253CEA7AFA4}">
      <formula1>"Да,Нет"</formula1>
    </dataValidation>
  </dataValidations>
  <pageMargins left="0.7" right="0.7" top="0.75" bottom="0.75" header="0.3" footer="0.3"/>
  <pageSetup paperSize="9" orientation="portrait" r:id="rId1"/>
  <ignoredErrors>
    <ignoredError sqref="C57:D57 D46 D70 D79 D5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Гибрид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Нургалиев Равиль Робертович</cp:lastModifiedBy>
  <cp:revision>3</cp:revision>
  <dcterms:created xsi:type="dcterms:W3CDTF">2024-05-23T13:01:03Z</dcterms:created>
  <dcterms:modified xsi:type="dcterms:W3CDTF">2026-09-24T12:40:28Z</dcterms:modified>
</cp:coreProperties>
</file>