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oks/Downloads/"/>
    </mc:Choice>
  </mc:AlternateContent>
  <xr:revisionPtr revIDLastSave="0" documentId="8_{8A650F87-A03E-CD43-B35F-E425CE682BBD}" xr6:coauthVersionLast="47" xr6:coauthVersionMax="47" xr10:uidLastSave="{00000000-0000-0000-0000-000000000000}"/>
  <bookViews>
    <workbookView xWindow="360" yWindow="740" windowWidth="29040" windowHeight="16980" xr2:uid="{00000000-000D-0000-FFFF-FFFF00000000}"/>
  </bookViews>
  <sheets>
    <sheet name="Гибрид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2" l="1"/>
  <c r="L48" i="2"/>
  <c r="M48" i="2" s="1"/>
  <c r="I36" i="2"/>
  <c r="I37" i="2"/>
  <c r="I38" i="2"/>
  <c r="I39" i="2"/>
  <c r="I40" i="2"/>
  <c r="I41" i="2"/>
  <c r="I42" i="2"/>
  <c r="H42" i="2"/>
  <c r="H41" i="2"/>
  <c r="H40" i="2"/>
  <c r="H39" i="2"/>
  <c r="H38" i="2"/>
  <c r="H37" i="2"/>
  <c r="H36" i="2"/>
  <c r="J40" i="2"/>
  <c r="J41" i="2"/>
  <c r="J42" i="2"/>
  <c r="E42" i="2"/>
  <c r="E41" i="2"/>
  <c r="E40" i="2"/>
  <c r="C47" i="2"/>
  <c r="F47" i="2"/>
  <c r="N43" i="2"/>
  <c r="L46" i="2"/>
  <c r="L45" i="2"/>
  <c r="M45" i="2" s="1"/>
  <c r="Q45" i="2" s="1"/>
  <c r="C45" i="2" s="1"/>
  <c r="J45" i="2" s="1"/>
  <c r="L44" i="2"/>
  <c r="M44" i="2" s="1"/>
  <c r="Q44" i="2" s="1"/>
  <c r="C44" i="2"/>
  <c r="J44" i="2" s="1"/>
  <c r="L36" i="2"/>
  <c r="M36" i="2" s="1"/>
  <c r="C46" i="2" l="1"/>
  <c r="J46" i="2" s="1"/>
  <c r="Q48" i="2"/>
  <c r="C48" i="2" s="1"/>
  <c r="H48" i="2" s="1"/>
  <c r="I48" i="2" s="1"/>
  <c r="J47" i="2"/>
  <c r="H47" i="2"/>
  <c r="I47" i="2" s="1"/>
  <c r="D44" i="2"/>
  <c r="H44" i="2" s="1"/>
  <c r="I44" i="2" s="1"/>
  <c r="Q46" i="2"/>
  <c r="D46" i="2" s="1"/>
  <c r="E46" i="2" s="1"/>
  <c r="D45" i="2"/>
  <c r="E45" i="2" s="1"/>
  <c r="H46" i="2" l="1"/>
  <c r="I46" i="2" s="1"/>
  <c r="H45" i="2"/>
  <c r="I45" i="2" s="1"/>
  <c r="J48" i="2"/>
  <c r="E44" i="2"/>
  <c r="B22" i="2" l="1"/>
  <c r="C21" i="2"/>
  <c r="F21" i="2" s="1"/>
  <c r="Q36" i="2" s="1"/>
  <c r="C20" i="2"/>
  <c r="I20" i="2" s="1"/>
  <c r="C19" i="2"/>
  <c r="I19" i="2" s="1"/>
  <c r="C18" i="2"/>
  <c r="I18" i="2" s="1"/>
  <c r="C17" i="2"/>
  <c r="N39" i="2"/>
  <c r="O39" i="2" s="1"/>
  <c r="L38" i="2"/>
  <c r="O43" i="2"/>
  <c r="Q43" i="2" s="1"/>
  <c r="L42" i="2"/>
  <c r="M42" i="2" s="1"/>
  <c r="Q42" i="2" s="1"/>
  <c r="L41" i="2"/>
  <c r="M41" i="2" s="1"/>
  <c r="Q41" i="2" s="1"/>
  <c r="L40" i="2"/>
  <c r="C43" i="2" l="1"/>
  <c r="M38" i="2"/>
  <c r="Q38" i="2" s="1"/>
  <c r="C38" i="2" s="1"/>
  <c r="J38" i="2" s="1"/>
  <c r="G38" i="2"/>
  <c r="C36" i="2"/>
  <c r="J36" i="2" s="1"/>
  <c r="C41" i="2"/>
  <c r="C42" i="2"/>
  <c r="I21" i="2"/>
  <c r="G22" i="2"/>
  <c r="F19" i="2"/>
  <c r="F20" i="2"/>
  <c r="H22" i="2"/>
  <c r="C22" i="2"/>
  <c r="F17" i="2"/>
  <c r="I17" i="2"/>
  <c r="F18" i="2"/>
  <c r="M40" i="2"/>
  <c r="Q40" i="2" s="1"/>
  <c r="C50" i="2" l="1"/>
  <c r="G47" i="2"/>
  <c r="J43" i="2"/>
  <c r="J50" i="2" s="1"/>
  <c r="D43" i="2"/>
  <c r="E43" i="2" s="1"/>
  <c r="D38" i="2"/>
  <c r="J22" i="2"/>
  <c r="L39" i="2" s="1"/>
  <c r="M39" i="2" s="1"/>
  <c r="Q39" i="2" s="1"/>
  <c r="D42" i="2"/>
  <c r="D41" i="2"/>
  <c r="D36" i="2"/>
  <c r="E36" i="2" s="1"/>
  <c r="C40" i="2"/>
  <c r="F22" i="2"/>
  <c r="L37" i="2" s="1"/>
  <c r="M37" i="2" s="1"/>
  <c r="Q37" i="2" s="1"/>
  <c r="I22" i="2"/>
  <c r="H43" i="2" l="1"/>
  <c r="E38" i="2"/>
  <c r="D40" i="2"/>
  <c r="C37" i="2"/>
  <c r="J37" i="2" s="1"/>
  <c r="C39" i="2"/>
  <c r="J39" i="2" s="1"/>
  <c r="H50" i="2" l="1"/>
  <c r="I43" i="2"/>
  <c r="I50" i="2" s="1"/>
  <c r="D37" i="2"/>
  <c r="D39" i="2"/>
  <c r="E39" i="2" s="1"/>
  <c r="E37" i="2" l="1"/>
</calcChain>
</file>

<file path=xl/sharedStrings.xml><?xml version="1.0" encoding="utf-8"?>
<sst xmlns="http://schemas.openxmlformats.org/spreadsheetml/2006/main" count="105" uniqueCount="89">
  <si>
    <t>Зеленым отмечены поля для заполнения</t>
  </si>
  <si>
    <t>Пользователей одновременно смотрят видео на портале DION Video</t>
  </si>
  <si>
    <t xml:space="preserve">Загруженных пользователями на портал новых видеозаписей в сутки (в часах) </t>
  </si>
  <si>
    <t>Виды конференций и распределение</t>
  </si>
  <si>
    <t>Профиль конференции</t>
  </si>
  <si>
    <t>Процент пользователей в конференции данного типа</t>
  </si>
  <si>
    <t>Пользователей</t>
  </si>
  <si>
    <t>Размер конференции (среднее кол-во одновременных участников)</t>
  </si>
  <si>
    <t>Микрофонов всего</t>
  </si>
  <si>
    <t>Кол-во конференций</t>
  </si>
  <si>
    <t>тип1 (2 польз)</t>
  </si>
  <si>
    <t>тип2 (3-5 польз)</t>
  </si>
  <si>
    <t>тип3 (6-10 польз)</t>
  </si>
  <si>
    <t>тип4 (10-30 польз)</t>
  </si>
  <si>
    <t>тип 5 (30+ польз)</t>
  </si>
  <si>
    <t>total</t>
  </si>
  <si>
    <t>/дата/</t>
  </si>
  <si>
    <t>• Учитываются требования ПО DION + самой ОС на каждой из VM</t>
  </si>
  <si>
    <t>vCPU</t>
  </si>
  <si>
    <t>RAM (GB)</t>
  </si>
  <si>
    <t>disk (GB)</t>
  </si>
  <si>
    <t>bandwidth per instance (Mbit/sec)</t>
  </si>
  <si>
    <t>суммарно vCPU</t>
  </si>
  <si>
    <t>суммарно RAM</t>
  </si>
  <si>
    <t>суммарно disk</t>
  </si>
  <si>
    <t>приложения</t>
  </si>
  <si>
    <t>MEDIA</t>
  </si>
  <si>
    <t xml:space="preserve">100 активностей 1 vCPU </t>
  </si>
  <si>
    <t>SIP SERVER</t>
  </si>
  <si>
    <t>1 vCPU на 6 вызовов</t>
  </si>
  <si>
    <t>SIP TRANSLATOR</t>
  </si>
  <si>
    <t>1,5 vCPU на 1 вызов</t>
  </si>
  <si>
    <t>SIP TRANSCODER</t>
  </si>
  <si>
    <t>TURN</t>
  </si>
  <si>
    <t>RECORD</t>
  </si>
  <si>
    <t>Итого</t>
  </si>
  <si>
    <t>участников конференций в пике</t>
  </si>
  <si>
    <t>• Учитывается пиковая утилизация всех VM приложений , потеря 1 прикладной VM  приведет к пропорциональной деградации соответствующего сервиса</t>
  </si>
  <si>
    <t>кол-во</t>
  </si>
  <si>
    <t>Требуемая нагрузка (в условных единицах - могут быть пользователи, кол-во звонков или записей и т.д.)</t>
  </si>
  <si>
    <t>Минимально необходимое количество vCPU, чтобы выдержать требуемую нагрузку</t>
  </si>
  <si>
    <t>Как рассчитывается кол-во ядер</t>
  </si>
  <si>
    <t>1 vCPU на 250 пользователей</t>
  </si>
  <si>
    <t>1 vCPU на 2 вызова</t>
  </si>
  <si>
    <t>Минимально необходимое количество vCPU для обработки записей и видео</t>
  </si>
  <si>
    <t>Требуемая нагрузка для обработки видео</t>
  </si>
  <si>
    <t>2 vCPU на одну запись конференции.
Запись длиной 1 час занимает 1 Гб на диске.
Для обработки 6 часовых записей в сутки требуется 1 дополнительный vCPU.</t>
  </si>
  <si>
    <t>Не уменьшайте размер диска.</t>
  </si>
  <si>
    <t>Допустимо уменьшение размера VM с синими ячейками.
Минимально допустимый размер VM: 2 vCPU, 4 Gb RAM.</t>
  </si>
  <si>
    <t>Профиль конференции задается средним количеством пользователей в конференции, процентом включенных микрофонов, камер, демонстраций экрана, активных записей. Можно изменить набор типов.
Значения по умолчанию взяты из статистики по облаку.</t>
  </si>
  <si>
    <t xml:space="preserve">• Калькулятор считает минимальные требования без избыточности! Для отказоустойчивости необходимо иметь минимум 2 активные копии каждой VM. </t>
  </si>
  <si>
    <t>одновременных SIP подключений</t>
  </si>
  <si>
    <t>SIP</t>
  </si>
  <si>
    <t>Если известно максимальное количество одновременно ведущихся записей конференций в пике, можно указать это значение вручную в красной ячейке. Это значение влияет на масштабирование сервисов записей для поддержки нагрузки в пике. По умолчанию 3 одновременные записи считается минимальным значением.
Исходная формула в ячейке =ОКРУГЛВВЕРХ(I7*J7/100+I8*J8/100+I9*J9/100+I10*J10/100+I11*J11/100;0)</t>
  </si>
  <si>
    <t>Процент пользователей с включенными камерами %</t>
  </si>
  <si>
    <t>Пользователей с включенными микрофонами в конференции в среднем (шт)</t>
  </si>
  <si>
    <t>Процент конференций, где ведется демонстрация экрана %</t>
  </si>
  <si>
    <t>Процент конференций с записью %</t>
  </si>
  <si>
    <t>Минимально необходимое количество vCPU без учета зарезервированных vCPU</t>
  </si>
  <si>
    <t>Какие сервисы планируется использовать в гибриде? Проставьте 1 (используются) или 0 (не используются)</t>
  </si>
  <si>
    <t>Конференции</t>
  </si>
  <si>
    <t>Запись конференций</t>
  </si>
  <si>
    <t>Видеопортал</t>
  </si>
  <si>
    <t>Функционал гибрида</t>
  </si>
  <si>
    <t>Используется?</t>
  </si>
  <si>
    <t xml:space="preserve">Пользователей, одновременно подключающихся к конференциям извне </t>
  </si>
  <si>
    <t>Глубина хранения  видеозаписей, записей конференций (в днях) на S3</t>
  </si>
  <si>
    <t>Стенд Гибрида, рассчитанный исходя из:</t>
  </si>
  <si>
    <t>Календарь</t>
  </si>
  <si>
    <t>Заполнение красных полей не требуется</t>
  </si>
  <si>
    <t>HLS Converter</t>
  </si>
  <si>
    <t>DMZ Video Proxy</t>
  </si>
  <si>
    <t>API Video Gateway + Upload Companion + DLP Adapter</t>
  </si>
  <si>
    <t>DION Proxy</t>
  </si>
  <si>
    <t>S3 minio</t>
  </si>
  <si>
    <t>Для обработки 6 загруженных на портал записей длиной час за сутки требуется 1 дополнительный vCPU</t>
  </si>
  <si>
    <t>HLS Delivery в режиме redirect</t>
  </si>
  <si>
    <t xml:space="preserve">1 vCPU на 1000 пользователей.
Количество одновременных скачиваний зависит от пропускной способности от пользователей до хранилища S3. Для воспроизведения одним пользователем видео в качестве 1080p необходимо 6 Мбит/сек. </t>
  </si>
  <si>
    <t xml:space="preserve"> </t>
  </si>
  <si>
    <t xml:space="preserve">1 vCPU на 1000 пользователей </t>
  </si>
  <si>
    <t xml:space="preserve">1 vCPU на 500 пользователей </t>
  </si>
  <si>
    <t>Аналогичным образом можно увеличивать количество виртуальных машин вручную. Главное, чтобы суммарный объем vCPU и памяти оставался неизменным. VM не может быть меньше 2 vCPU, 2 Gb RAM.</t>
  </si>
  <si>
    <t>Если калькулятор (столбец C, строки 36-46) рекомендует 1 копию VM, можно разделить ее рекомендованные ресурсы (столбец D и E) на 2 машины поровну и развернуть 2 VM поменьше вместо одной большой для отказоустойчивости.</t>
  </si>
  <si>
    <t>Рекомендованное количество зарезервированных  vCPU на каждой машине для обработки видео</t>
  </si>
  <si>
    <t>Записей конференций в сутки (в часах)
Для примерной оценки можно взять значение ячейки J22 и умножить его на 6 или 8 (6 или 8 рабочих часов с пиковой нагрузкой по записям)</t>
  </si>
  <si>
    <t>Без переподписки!</t>
  </si>
  <si>
    <t>EWS-Connector</t>
  </si>
  <si>
    <t>1 шт на 2000 пользователей</t>
  </si>
  <si>
    <t>Количество пользователей, для которых необходимо синхронизировать календари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</si>
</sst>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2"/>
      <color rgb="FF9C57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9C0006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auto="1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757171"/>
      </right>
      <top style="thin">
        <color rgb="FF757171"/>
      </top>
      <bottom style="thin">
        <color rgb="FF757171"/>
      </bottom>
      <diagonal/>
    </border>
    <border>
      <left/>
      <right/>
      <top style="thin">
        <color rgb="FF757171"/>
      </top>
      <bottom style="thin">
        <color rgb="FF75717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7" fillId="2" borderId="0" applyNumberFormat="0" applyBorder="0" applyProtection="0"/>
    <xf numFmtId="0" fontId="1" fillId="3" borderId="0" applyNumberFormat="0" applyBorder="0" applyProtection="0"/>
    <xf numFmtId="0" fontId="2" fillId="4" borderId="0" applyNumberFormat="0" applyBorder="0" applyProtection="0"/>
    <xf numFmtId="0" fontId="3" fillId="5" borderId="0" applyNumberFormat="0" applyBorder="0" applyProtection="0"/>
  </cellStyleXfs>
  <cellXfs count="80">
    <xf numFmtId="0" fontId="0" fillId="0" borderId="0" xfId="0"/>
    <xf numFmtId="1" fontId="1" fillId="3" borderId="2" xfId="2" applyNumberFormat="1" applyBorder="1"/>
    <xf numFmtId="0" fontId="6" fillId="2" borderId="9" xfId="1" applyFont="1" applyBorder="1"/>
    <xf numFmtId="1" fontId="6" fillId="2" borderId="10" xfId="1" applyNumberFormat="1" applyFont="1" applyBorder="1"/>
    <xf numFmtId="0" fontId="6" fillId="2" borderId="11" xfId="1" applyFont="1" applyBorder="1"/>
    <xf numFmtId="1" fontId="8" fillId="2" borderId="9" xfId="1" applyNumberFormat="1" applyFont="1" applyBorder="1"/>
    <xf numFmtId="0" fontId="7" fillId="0" borderId="7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9" fillId="0" borderId="7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2" xfId="0" applyFont="1" applyBorder="1"/>
    <xf numFmtId="0" fontId="5" fillId="0" borderId="2" xfId="0" applyFont="1" applyBorder="1"/>
    <xf numFmtId="0" fontId="11" fillId="0" borderId="13" xfId="0" applyFont="1" applyBorder="1"/>
    <xf numFmtId="1" fontId="1" fillId="3" borderId="13" xfId="0" applyNumberFormat="1" applyFont="1" applyFill="1" applyBorder="1"/>
    <xf numFmtId="1" fontId="11" fillId="0" borderId="13" xfId="0" applyNumberFormat="1" applyFont="1" applyBorder="1"/>
    <xf numFmtId="1" fontId="11" fillId="0" borderId="21" xfId="0" applyNumberFormat="1" applyFont="1" applyBorder="1"/>
    <xf numFmtId="0" fontId="11" fillId="0" borderId="21" xfId="0" applyFont="1" applyBorder="1"/>
    <xf numFmtId="1" fontId="2" fillId="4" borderId="22" xfId="0" applyNumberFormat="1" applyFont="1" applyFill="1" applyBorder="1"/>
    <xf numFmtId="0" fontId="3" fillId="5" borderId="2" xfId="4" applyBorder="1"/>
    <xf numFmtId="0" fontId="9" fillId="0" borderId="0" xfId="0" applyFont="1" applyAlignment="1">
      <alignment horizontal="left" wrapText="1"/>
    </xf>
    <xf numFmtId="1" fontId="3" fillId="5" borderId="0" xfId="4" applyNumberFormat="1" applyAlignment="1">
      <alignment horizontal="right"/>
    </xf>
    <xf numFmtId="1" fontId="3" fillId="5" borderId="0" xfId="4" applyNumberFormat="1" applyAlignment="1">
      <alignment horizontal="left"/>
    </xf>
    <xf numFmtId="1" fontId="3" fillId="5" borderId="0" xfId="4" applyNumberFormat="1" applyAlignment="1">
      <alignment horizontal="left" wrapText="1"/>
    </xf>
    <xf numFmtId="0" fontId="3" fillId="5" borderId="0" xfId="4"/>
    <xf numFmtId="0" fontId="7" fillId="0" borderId="2" xfId="0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1" fontId="3" fillId="5" borderId="2" xfId="4" applyNumberFormat="1" applyBorder="1" applyAlignment="1">
      <alignment horizontal="right" wrapText="1"/>
    </xf>
    <xf numFmtId="1" fontId="9" fillId="0" borderId="2" xfId="0" applyNumberFormat="1" applyFont="1" applyBorder="1" applyAlignment="1">
      <alignment horizontal="right" wrapText="1"/>
    </xf>
    <xf numFmtId="1" fontId="3" fillId="5" borderId="2" xfId="4" applyNumberForma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" fontId="7" fillId="2" borderId="2" xfId="1" applyNumberFormat="1" applyBorder="1"/>
    <xf numFmtId="0" fontId="1" fillId="3" borderId="0" xfId="2" applyAlignment="1">
      <alignment horizontal="left"/>
    </xf>
    <xf numFmtId="0" fontId="1" fillId="3" borderId="0" xfId="2"/>
    <xf numFmtId="0" fontId="7" fillId="0" borderId="5" xfId="0" applyFont="1" applyBorder="1" applyAlignment="1">
      <alignment wrapText="1"/>
    </xf>
    <xf numFmtId="0" fontId="1" fillId="3" borderId="2" xfId="2" applyBorder="1" applyAlignment="1">
      <alignment wrapText="1"/>
    </xf>
    <xf numFmtId="0" fontId="7" fillId="0" borderId="8" xfId="0" applyFont="1" applyBorder="1"/>
    <xf numFmtId="0" fontId="7" fillId="6" borderId="2" xfId="0" applyFont="1" applyFill="1" applyBorder="1"/>
    <xf numFmtId="1" fontId="7" fillId="0" borderId="2" xfId="0" applyNumberFormat="1" applyFont="1" applyBorder="1"/>
    <xf numFmtId="2" fontId="7" fillId="0" borderId="18" xfId="0" applyNumberFormat="1" applyFont="1" applyBorder="1"/>
    <xf numFmtId="1" fontId="7" fillId="0" borderId="18" xfId="0" applyNumberFormat="1" applyFont="1" applyBorder="1"/>
    <xf numFmtId="0" fontId="7" fillId="0" borderId="18" xfId="0" applyFont="1" applyBorder="1" applyAlignment="1">
      <alignment wrapText="1"/>
    </xf>
    <xf numFmtId="0" fontId="7" fillId="0" borderId="18" xfId="0" applyFont="1" applyBorder="1"/>
    <xf numFmtId="1" fontId="2" fillId="4" borderId="19" xfId="3" applyNumberFormat="1" applyBorder="1"/>
    <xf numFmtId="0" fontId="7" fillId="0" borderId="17" xfId="0" applyFont="1" applyBorder="1" applyAlignment="1">
      <alignment wrapText="1"/>
    </xf>
    <xf numFmtId="0" fontId="7" fillId="2" borderId="12" xfId="1" applyBorder="1"/>
    <xf numFmtId="0" fontId="9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1" fontId="11" fillId="0" borderId="8" xfId="0" applyNumberFormat="1" applyFont="1" applyBorder="1"/>
    <xf numFmtId="1" fontId="11" fillId="0" borderId="23" xfId="0" applyNumberFormat="1" applyFont="1" applyBorder="1"/>
    <xf numFmtId="1" fontId="11" fillId="0" borderId="24" xfId="0" applyNumberFormat="1" applyFont="1" applyBorder="1"/>
    <xf numFmtId="0" fontId="7" fillId="0" borderId="25" xfId="0" applyFont="1" applyBorder="1" applyAlignment="1">
      <alignment wrapText="1"/>
    </xf>
    <xf numFmtId="0" fontId="7" fillId="6" borderId="26" xfId="0" applyFont="1" applyFill="1" applyBorder="1"/>
    <xf numFmtId="1" fontId="1" fillId="3" borderId="27" xfId="2" applyNumberFormat="1" applyBorder="1"/>
    <xf numFmtId="1" fontId="1" fillId="3" borderId="26" xfId="2" applyNumberFormat="1" applyBorder="1"/>
    <xf numFmtId="1" fontId="7" fillId="0" borderId="26" xfId="0" applyNumberFormat="1" applyFont="1" applyBorder="1"/>
    <xf numFmtId="1" fontId="1" fillId="3" borderId="28" xfId="2" applyNumberFormat="1" applyBorder="1"/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7" fillId="0" borderId="31" xfId="0" applyFont="1" applyBorder="1"/>
    <xf numFmtId="0" fontId="7" fillId="0" borderId="32" xfId="0" applyFont="1" applyBorder="1" applyAlignment="1">
      <alignment wrapText="1"/>
    </xf>
    <xf numFmtId="0" fontId="0" fillId="0" borderId="33" xfId="0" applyBorder="1"/>
    <xf numFmtId="0" fontId="2" fillId="4" borderId="34" xfId="3" applyBorder="1"/>
    <xf numFmtId="0" fontId="7" fillId="2" borderId="0" xfId="1" applyAlignment="1">
      <alignment horizontal="left" vertical="top" wrapText="1"/>
    </xf>
    <xf numFmtId="0" fontId="1" fillId="3" borderId="2" xfId="2" applyBorder="1" applyAlignment="1">
      <alignment horizontal="left" vertical="top" wrapText="1"/>
    </xf>
    <xf numFmtId="0" fontId="4" fillId="5" borderId="0" xfId="4" applyFont="1" applyAlignment="1">
      <alignment horizontal="center"/>
    </xf>
    <xf numFmtId="0" fontId="3" fillId="5" borderId="0" xfId="4" applyAlignment="1">
      <alignment horizontal="center"/>
    </xf>
    <xf numFmtId="0" fontId="12" fillId="0" borderId="1" xfId="0" applyFont="1" applyBorder="1" applyAlignment="1">
      <alignment horizontal="center" wrapText="1"/>
    </xf>
    <xf numFmtId="0" fontId="1" fillId="3" borderId="3" xfId="2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10" fillId="4" borderId="0" xfId="3" applyFont="1" applyAlignment="1">
      <alignment horizontal="center"/>
    </xf>
    <xf numFmtId="0" fontId="5" fillId="0" borderId="0" xfId="0" applyFont="1"/>
    <xf numFmtId="0" fontId="7" fillId="0" borderId="0" xfId="0" applyFont="1"/>
  </cellXfs>
  <cellStyles count="5">
    <cellStyle name="40% — акцент5" xfId="1" builtinId="47"/>
    <cellStyle name="Нейтральный" xfId="2" builtinId="28"/>
    <cellStyle name="Обычный" xfId="0" builtinId="0"/>
    <cellStyle name="Плохой" xfId="3" builtinId="27"/>
    <cellStyle name="Хороший" xfId="4" builtinId="26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B6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c={50E778BB-5AA0-86AC-C87E-35580F875033}" id="{7925F4E6-D03A-A7B8-2004-FBD7A57226C6}"/>
  <person displayName="tc={01F9FFB9-1722-D8A5-B513-68957C289289}" id="{4395408D-706C-73F1-5B58-E8A0FE96C259}"/>
  <person displayName="tc={96C1BB7A-B8A1-6BAE-52FC-D9A58B44952B}" id="{A3FEB9F8-8C06-D5DC-B045-682B89CCFE48}"/>
  <person displayName="tc={6D6DC9E7-BF65-6800-52C4-E690172E6622}" id="{13E2295C-293E-5CB7-34D8-A882E7BF167B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43" personId="{4395408D-706C-73F1-5B58-E8A0FE96C259}" id="{001F006A-00D9-4C80-8221-00D900EA00CE}" done="0">
    <text xml:space="preserve">Василий Попов:
OpenSearch на Астра линукс требует 6vcpu / 16ram для комфортной работы
</text>
  </threadedComment>
  <threadedComment ref="A45" personId="{A3FEB9F8-8C06-D5DC-B045-682B89CCFE48}" id="{009F0085-007D-40D5-8402-005A0030002A}" done="0">
    <text xml:space="preserve">Василий Попов:
consul, redis, minio, postgre, kafka, cassandra
</text>
  </threadedComment>
  <threadedComment ref="A46" personId="{13E2295C-293E-5CB7-34D8-A882E7BF167B}" id="{005D0008-00C0-4947-B0F2-0005003B003F}" done="0">
    <text xml:space="preserve">Василий Попов:
S3 (minio)
https://developer.harness.io/docs/self-managed-enterprise-edition/advanced-configurations/external-db/use-self-managed-minio-object-storage/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"/>
  <sheetViews>
    <sheetView tabSelected="1" topLeftCell="A39" zoomScale="69" workbookViewId="0">
      <selection activeCell="M46" sqref="M46"/>
    </sheetView>
  </sheetViews>
  <sheetFormatPr baseColWidth="10" defaultColWidth="11" defaultRowHeight="16" x14ac:dyDescent="0.2"/>
  <cols>
    <col min="1" max="1" width="15.83203125" style="13" customWidth="1"/>
    <col min="2" max="2" width="16.83203125" style="13" customWidth="1"/>
    <col min="3" max="3" width="20.6640625" style="13" customWidth="1"/>
    <col min="4" max="4" width="14.1640625" style="13" customWidth="1"/>
    <col min="5" max="5" width="15.33203125" style="13" customWidth="1"/>
    <col min="6" max="6" width="12.33203125" style="13" customWidth="1"/>
    <col min="7" max="7" width="19.1640625" style="13" customWidth="1"/>
    <col min="8" max="8" width="15.33203125" style="13" customWidth="1"/>
    <col min="9" max="9" width="16.83203125" style="13" customWidth="1"/>
    <col min="10" max="10" width="14.33203125" style="13" customWidth="1"/>
    <col min="11" max="11" width="27.33203125" style="13" customWidth="1"/>
    <col min="12" max="12" width="18.33203125" style="13" customWidth="1"/>
    <col min="13" max="13" width="21.5" style="13" customWidth="1"/>
    <col min="14" max="14" width="16.6640625" style="13" customWidth="1"/>
    <col min="15" max="15" width="20.83203125" style="13" customWidth="1"/>
    <col min="16" max="16" width="18.6640625" style="13" customWidth="1"/>
    <col min="17" max="17" width="19.83203125" style="13" customWidth="1"/>
    <col min="18" max="16384" width="11" style="13"/>
  </cols>
  <sheetData>
    <row r="1" spans="1:16" x14ac:dyDescent="0.2">
      <c r="A1" s="71" t="s">
        <v>0</v>
      </c>
      <c r="B1" s="72"/>
      <c r="C1" s="72"/>
      <c r="D1" s="77" t="s">
        <v>69</v>
      </c>
      <c r="E1" s="77"/>
      <c r="F1" s="77"/>
      <c r="I1" s="14"/>
      <c r="J1" s="14"/>
      <c r="K1" s="8"/>
    </row>
    <row r="2" spans="1:16" ht="26" customHeight="1" x14ac:dyDescent="0.2">
      <c r="I2" s="14"/>
      <c r="J2" s="14"/>
      <c r="K2" s="8"/>
    </row>
    <row r="3" spans="1:16" ht="23" customHeight="1" x14ac:dyDescent="0.2">
      <c r="A3" s="75" t="s">
        <v>59</v>
      </c>
      <c r="B3" s="76"/>
      <c r="C3" s="16" t="s">
        <v>63</v>
      </c>
      <c r="D3" s="16" t="s">
        <v>64</v>
      </c>
    </row>
    <row r="4" spans="1:16" ht="16" customHeight="1" x14ac:dyDescent="0.2">
      <c r="A4" s="75"/>
      <c r="B4" s="76"/>
      <c r="C4" s="15" t="s">
        <v>60</v>
      </c>
      <c r="D4" s="23">
        <v>0</v>
      </c>
    </row>
    <row r="5" spans="1:16" ht="16" customHeight="1" x14ac:dyDescent="0.2">
      <c r="A5" s="75"/>
      <c r="B5" s="76"/>
      <c r="C5" s="15" t="s">
        <v>61</v>
      </c>
      <c r="D5" s="23">
        <v>0</v>
      </c>
    </row>
    <row r="6" spans="1:16" x14ac:dyDescent="0.2">
      <c r="A6" s="75"/>
      <c r="B6" s="76"/>
      <c r="C6" s="15" t="s">
        <v>52</v>
      </c>
      <c r="D6" s="23">
        <v>0</v>
      </c>
    </row>
    <row r="7" spans="1:16" x14ac:dyDescent="0.2">
      <c r="A7" s="75"/>
      <c r="B7" s="76"/>
      <c r="C7" s="15" t="s">
        <v>62</v>
      </c>
      <c r="D7" s="23">
        <v>0</v>
      </c>
    </row>
    <row r="8" spans="1:16" x14ac:dyDescent="0.2">
      <c r="C8" s="15" t="s">
        <v>68</v>
      </c>
      <c r="D8" s="23">
        <v>0</v>
      </c>
    </row>
    <row r="10" spans="1:16" ht="221" x14ac:dyDescent="0.2">
      <c r="A10" s="24" t="s">
        <v>36</v>
      </c>
      <c r="B10" s="25">
        <v>0</v>
      </c>
      <c r="C10" s="7" t="s">
        <v>65</v>
      </c>
      <c r="D10" s="26">
        <v>0</v>
      </c>
      <c r="E10" s="8" t="s">
        <v>84</v>
      </c>
      <c r="F10" s="27">
        <v>0</v>
      </c>
      <c r="G10" s="8" t="s">
        <v>51</v>
      </c>
      <c r="H10" s="26">
        <v>0</v>
      </c>
      <c r="I10" s="8" t="s">
        <v>1</v>
      </c>
      <c r="J10" s="27">
        <v>0</v>
      </c>
      <c r="K10" s="7" t="s">
        <v>2</v>
      </c>
      <c r="L10" s="27">
        <v>0</v>
      </c>
      <c r="M10" s="7" t="s">
        <v>66</v>
      </c>
      <c r="N10" s="28">
        <v>365</v>
      </c>
      <c r="O10" s="7" t="s">
        <v>88</v>
      </c>
      <c r="P10" s="28">
        <v>0</v>
      </c>
    </row>
    <row r="14" spans="1:16" x14ac:dyDescent="0.2">
      <c r="A14" s="8"/>
      <c r="B14" s="14"/>
      <c r="C14" s="14"/>
      <c r="D14" s="14"/>
      <c r="E14" s="14"/>
      <c r="F14" s="14"/>
      <c r="G14" s="14"/>
      <c r="H14" s="14"/>
      <c r="I14" s="14"/>
      <c r="J14" s="14"/>
      <c r="K14" s="8"/>
    </row>
    <row r="15" spans="1:16" ht="16" customHeight="1" x14ac:dyDescent="0.2">
      <c r="A15" s="73" t="s">
        <v>3</v>
      </c>
      <c r="B15" s="73"/>
      <c r="C15" s="73"/>
      <c r="D15" s="73"/>
      <c r="E15" s="73"/>
      <c r="F15" s="73"/>
      <c r="G15" s="73"/>
      <c r="H15" s="73"/>
      <c r="I15" s="73"/>
      <c r="J15" s="14"/>
      <c r="K15" s="8"/>
    </row>
    <row r="16" spans="1:16" ht="204" customHeight="1" x14ac:dyDescent="0.2">
      <c r="A16" s="29" t="s">
        <v>4</v>
      </c>
      <c r="B16" s="30" t="s">
        <v>5</v>
      </c>
      <c r="C16" s="30" t="s">
        <v>6</v>
      </c>
      <c r="D16" s="30" t="s">
        <v>7</v>
      </c>
      <c r="E16" s="30" t="s">
        <v>55</v>
      </c>
      <c r="F16" s="30" t="s">
        <v>8</v>
      </c>
      <c r="G16" s="30" t="s">
        <v>54</v>
      </c>
      <c r="H16" s="30" t="s">
        <v>56</v>
      </c>
      <c r="I16" s="30" t="s">
        <v>9</v>
      </c>
      <c r="J16" s="30" t="s">
        <v>57</v>
      </c>
      <c r="K16" s="74" t="s">
        <v>49</v>
      </c>
    </row>
    <row r="17" spans="1:15" x14ac:dyDescent="0.2">
      <c r="A17" s="15" t="s">
        <v>10</v>
      </c>
      <c r="B17" s="31">
        <v>40</v>
      </c>
      <c r="C17" s="32">
        <f>$B$10*B17/100</f>
        <v>0</v>
      </c>
      <c r="D17" s="33">
        <v>2</v>
      </c>
      <c r="E17" s="33">
        <v>2</v>
      </c>
      <c r="F17" s="32">
        <f t="shared" ref="F17:F19" si="0">ROUNDUP(C17/D17*E17,0)</f>
        <v>0</v>
      </c>
      <c r="G17" s="33">
        <v>10</v>
      </c>
      <c r="H17" s="33">
        <v>60</v>
      </c>
      <c r="I17" s="32">
        <f t="shared" ref="I17:I19" si="1">ROUNDUP(C17/D17,0)</f>
        <v>0</v>
      </c>
      <c r="J17" s="31">
        <v>1</v>
      </c>
      <c r="K17" s="74"/>
    </row>
    <row r="18" spans="1:15" x14ac:dyDescent="0.2">
      <c r="A18" s="15" t="s">
        <v>11</v>
      </c>
      <c r="B18" s="31">
        <v>32</v>
      </c>
      <c r="C18" s="32">
        <f>$B$10*B18/100</f>
        <v>0</v>
      </c>
      <c r="D18" s="33">
        <v>4</v>
      </c>
      <c r="E18" s="33">
        <v>3</v>
      </c>
      <c r="F18" s="32">
        <f t="shared" si="0"/>
        <v>0</v>
      </c>
      <c r="G18" s="33">
        <v>10</v>
      </c>
      <c r="H18" s="33">
        <v>60</v>
      </c>
      <c r="I18" s="32">
        <f t="shared" si="1"/>
        <v>0</v>
      </c>
      <c r="J18" s="31">
        <v>2</v>
      </c>
      <c r="K18" s="74"/>
    </row>
    <row r="19" spans="1:15" x14ac:dyDescent="0.2">
      <c r="A19" s="15" t="s">
        <v>12</v>
      </c>
      <c r="B19" s="31">
        <v>16</v>
      </c>
      <c r="C19" s="32">
        <f>$B$10*B19/100</f>
        <v>0</v>
      </c>
      <c r="D19" s="33">
        <v>8</v>
      </c>
      <c r="E19" s="33">
        <v>4</v>
      </c>
      <c r="F19" s="32">
        <f t="shared" si="0"/>
        <v>0</v>
      </c>
      <c r="G19" s="33">
        <v>10</v>
      </c>
      <c r="H19" s="33">
        <v>60</v>
      </c>
      <c r="I19" s="32">
        <f t="shared" si="1"/>
        <v>0</v>
      </c>
      <c r="J19" s="31">
        <v>3</v>
      </c>
      <c r="K19" s="74"/>
    </row>
    <row r="20" spans="1:15" x14ac:dyDescent="0.2">
      <c r="A20" s="15" t="s">
        <v>13</v>
      </c>
      <c r="B20" s="31">
        <v>10</v>
      </c>
      <c r="C20" s="32">
        <f>$B$10*B20/100</f>
        <v>0</v>
      </c>
      <c r="D20" s="33">
        <v>20</v>
      </c>
      <c r="E20" s="33">
        <v>4</v>
      </c>
      <c r="F20" s="32">
        <f>ROUNDUP(C20/D20*E20,0)</f>
        <v>0</v>
      </c>
      <c r="G20" s="33">
        <v>10</v>
      </c>
      <c r="H20" s="33">
        <v>60</v>
      </c>
      <c r="I20" s="32">
        <f>ROUNDUP(C20/D20,0)</f>
        <v>0</v>
      </c>
      <c r="J20" s="31">
        <v>5</v>
      </c>
      <c r="K20" s="74"/>
    </row>
    <row r="21" spans="1:15" x14ac:dyDescent="0.2">
      <c r="A21" s="15" t="s">
        <v>14</v>
      </c>
      <c r="B21" s="31">
        <v>2</v>
      </c>
      <c r="C21" s="32">
        <f>$B$10*B21/100</f>
        <v>0</v>
      </c>
      <c r="D21" s="33">
        <v>50</v>
      </c>
      <c r="E21" s="33">
        <v>3</v>
      </c>
      <c r="F21" s="32">
        <f>ROUNDUP(C21/D21*E21,0)</f>
        <v>0</v>
      </c>
      <c r="G21" s="33">
        <v>10</v>
      </c>
      <c r="H21" s="33">
        <v>70</v>
      </c>
      <c r="I21" s="32">
        <f>ROUNDUP(C21/D21,0)</f>
        <v>0</v>
      </c>
      <c r="J21" s="31">
        <v>7</v>
      </c>
      <c r="K21" s="74"/>
    </row>
    <row r="22" spans="1:15" ht="17" x14ac:dyDescent="0.2">
      <c r="A22" s="30" t="s">
        <v>15</v>
      </c>
      <c r="B22" s="32">
        <f>SUM(B17:B21)</f>
        <v>100</v>
      </c>
      <c r="C22" s="32">
        <f>SUM(C17:C21)</f>
        <v>0</v>
      </c>
      <c r="D22" s="34"/>
      <c r="E22" s="34"/>
      <c r="F22" s="32">
        <f>SUM(F17:F21)</f>
        <v>0</v>
      </c>
      <c r="G22" s="32">
        <f>ROUNDUP(C17*G17/100+C18*G18/100+C19*G19/100+C20*G20/100+C21*G21/100,0)</f>
        <v>0</v>
      </c>
      <c r="H22" s="32">
        <f>ROUNDUP(C17*H17/100+C18*H18/100+C19*H19/100+C20*H20/100,0)</f>
        <v>0</v>
      </c>
      <c r="I22" s="32">
        <f>SUM(I17:I21)</f>
        <v>0</v>
      </c>
      <c r="J22" s="35">
        <f>IF(ROUNDUP(I17*J17/100+I18*J18/100+I19*J19/100+I20*J20/100+I21*J21/100,0)&lt;3,3,ROUNDUP(I17*J17/100+I18*J18/100+I19*J19/100+I20*J20/100+I21*J21/100,0))</f>
        <v>3</v>
      </c>
      <c r="K22" s="74"/>
    </row>
    <row r="23" spans="1:15" ht="16" customHeight="1" x14ac:dyDescent="0.2">
      <c r="A23" s="7"/>
      <c r="J23" s="69" t="s">
        <v>53</v>
      </c>
      <c r="K23" s="69"/>
      <c r="L23" s="69"/>
      <c r="M23" s="69"/>
      <c r="N23" s="69"/>
      <c r="O23" s="69"/>
    </row>
    <row r="24" spans="1:15" x14ac:dyDescent="0.2">
      <c r="J24" s="69"/>
      <c r="K24" s="69"/>
      <c r="L24" s="69"/>
      <c r="M24" s="69"/>
      <c r="N24" s="69"/>
      <c r="O24" s="69"/>
    </row>
    <row r="25" spans="1:15" ht="39" customHeight="1" x14ac:dyDescent="0.2">
      <c r="J25" s="69"/>
      <c r="K25" s="69"/>
      <c r="L25" s="69"/>
      <c r="M25" s="69"/>
      <c r="N25" s="69"/>
      <c r="O25" s="69"/>
    </row>
    <row r="26" spans="1:15" x14ac:dyDescent="0.2">
      <c r="A26" s="36" t="s">
        <v>67</v>
      </c>
      <c r="B26" s="36"/>
      <c r="C26" s="36"/>
      <c r="D26" s="36"/>
      <c r="E26" s="36"/>
      <c r="F26" s="36"/>
      <c r="G26" s="36"/>
      <c r="H26" s="36"/>
      <c r="I26" s="36"/>
      <c r="J26" s="36"/>
      <c r="K26" s="37"/>
      <c r="L26" s="37"/>
      <c r="M26" s="37"/>
      <c r="N26" s="37"/>
      <c r="O26" s="37"/>
    </row>
    <row r="27" spans="1:15" x14ac:dyDescent="0.2">
      <c r="A27" s="28" t="s">
        <v>16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x14ac:dyDescent="0.2">
      <c r="A28" s="37" t="s">
        <v>50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x14ac:dyDescent="0.2">
      <c r="A29" s="37" t="s">
        <v>82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5" x14ac:dyDescent="0.2">
      <c r="A30" s="36" t="s">
        <v>81</v>
      </c>
      <c r="B30" s="36"/>
      <c r="C30" s="36"/>
      <c r="D30" s="36"/>
      <c r="E30" s="36"/>
      <c r="F30" s="36"/>
      <c r="G30" s="36"/>
      <c r="H30" s="36"/>
      <c r="I30" s="36"/>
      <c r="J30" s="36"/>
      <c r="K30" s="37"/>
      <c r="L30" s="37"/>
      <c r="M30" s="37"/>
      <c r="N30" s="37"/>
      <c r="O30" s="37"/>
    </row>
    <row r="31" spans="1:15" x14ac:dyDescent="0.2">
      <c r="A31" s="37" t="s">
        <v>37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5" x14ac:dyDescent="0.2">
      <c r="A32" s="37" t="s">
        <v>17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7" ht="17" thickBo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7" ht="34" x14ac:dyDescent="0.2">
      <c r="A34" s="50"/>
      <c r="B34" s="38"/>
      <c r="C34" s="51" t="s">
        <v>38</v>
      </c>
      <c r="D34" s="51" t="s">
        <v>18</v>
      </c>
      <c r="E34" s="51" t="s">
        <v>19</v>
      </c>
      <c r="F34" s="51" t="s">
        <v>20</v>
      </c>
      <c r="G34" s="51" t="s">
        <v>21</v>
      </c>
      <c r="H34" s="51" t="s">
        <v>22</v>
      </c>
      <c r="I34" s="51" t="s">
        <v>23</v>
      </c>
      <c r="J34" s="52" t="s">
        <v>24</v>
      </c>
    </row>
    <row r="35" spans="1:17" ht="102" customHeight="1" x14ac:dyDescent="0.2">
      <c r="A35" s="53" t="s">
        <v>25</v>
      </c>
      <c r="B35" s="15"/>
      <c r="C35" s="15"/>
      <c r="D35" s="70" t="s">
        <v>48</v>
      </c>
      <c r="E35" s="70"/>
      <c r="F35" s="39" t="s">
        <v>47</v>
      </c>
      <c r="G35" s="15"/>
      <c r="H35" s="15"/>
      <c r="I35" s="15"/>
      <c r="J35" s="40"/>
      <c r="K35" s="10" t="s">
        <v>41</v>
      </c>
      <c r="L35" s="11" t="s">
        <v>39</v>
      </c>
      <c r="M35" s="11" t="s">
        <v>40</v>
      </c>
      <c r="N35" s="11" t="s">
        <v>45</v>
      </c>
      <c r="O35" s="11" t="s">
        <v>44</v>
      </c>
      <c r="P35" s="11" t="s">
        <v>83</v>
      </c>
      <c r="Q35" s="12" t="s">
        <v>58</v>
      </c>
    </row>
    <row r="36" spans="1:17" ht="17" x14ac:dyDescent="0.2">
      <c r="A36" s="6" t="s">
        <v>73</v>
      </c>
      <c r="B36" s="41"/>
      <c r="C36" s="1">
        <f>IF(OR(D$4&gt;0,D$6&gt;0),IF(Q36&gt;16,2,1),0)</f>
        <v>0</v>
      </c>
      <c r="D36" s="15" t="e">
        <f t="shared" ref="D36:D42" si="2">MROUND(ROUNDUP(Q36/C36,0),2)</f>
        <v>#DIV/0!</v>
      </c>
      <c r="E36" s="15" t="e">
        <f t="shared" ref="E36:E46" si="3">D36*2</f>
        <v>#DIV/0!</v>
      </c>
      <c r="F36" s="1">
        <v>50</v>
      </c>
      <c r="G36" s="42"/>
      <c r="H36" s="42">
        <f t="shared" ref="H36:H46" si="4">IF(C36=0,0,C36*D36)</f>
        <v>0</v>
      </c>
      <c r="I36" s="42">
        <f t="shared" ref="I36:I48" si="5">H36*2</f>
        <v>0</v>
      </c>
      <c r="J36" s="54">
        <f t="shared" ref="J36:J47" si="6">F36*C36</f>
        <v>0</v>
      </c>
      <c r="K36" s="48" t="s">
        <v>80</v>
      </c>
      <c r="L36" s="43">
        <f>B10</f>
        <v>0</v>
      </c>
      <c r="M36" s="44">
        <f>ROUNDUP(L36/500,0)</f>
        <v>0</v>
      </c>
      <c r="N36" s="45"/>
      <c r="O36" s="46"/>
      <c r="P36" s="46"/>
      <c r="Q36" s="47">
        <f>M36</f>
        <v>0</v>
      </c>
    </row>
    <row r="37" spans="1:17" ht="17" x14ac:dyDescent="0.2">
      <c r="A37" s="6" t="s">
        <v>26</v>
      </c>
      <c r="B37" s="41" t="s">
        <v>85</v>
      </c>
      <c r="C37" s="1">
        <f>IF(B10&gt;0,(IF(Q37&gt;16,2,1)),0)</f>
        <v>0</v>
      </c>
      <c r="D37" s="15" t="e">
        <f t="shared" si="2"/>
        <v>#DIV/0!</v>
      </c>
      <c r="E37" s="15" t="e">
        <f t="shared" si="3"/>
        <v>#DIV/0!</v>
      </c>
      <c r="F37" s="1">
        <v>50</v>
      </c>
      <c r="G37" s="42"/>
      <c r="H37" s="42">
        <f t="shared" si="4"/>
        <v>0</v>
      </c>
      <c r="I37" s="42">
        <f t="shared" si="5"/>
        <v>0</v>
      </c>
      <c r="J37" s="54">
        <f t="shared" si="6"/>
        <v>0</v>
      </c>
      <c r="K37" s="48" t="s">
        <v>27</v>
      </c>
      <c r="L37" s="43">
        <f>F22*3+G22+H22</f>
        <v>0</v>
      </c>
      <c r="M37" s="44">
        <f>ROUNDUP(L37/100,0)</f>
        <v>0</v>
      </c>
      <c r="N37" s="45"/>
      <c r="O37" s="46"/>
      <c r="P37" s="46"/>
      <c r="Q37" s="47">
        <f>M37</f>
        <v>0</v>
      </c>
    </row>
    <row r="38" spans="1:17" ht="17" x14ac:dyDescent="0.2">
      <c r="A38" s="6" t="s">
        <v>33</v>
      </c>
      <c r="B38" s="41" t="s">
        <v>85</v>
      </c>
      <c r="C38" s="1">
        <f>IF(D10&gt;0,IF(Q38&gt;16,2,1),0)</f>
        <v>0</v>
      </c>
      <c r="D38" s="15" t="e">
        <f t="shared" si="2"/>
        <v>#DIV/0!</v>
      </c>
      <c r="E38" s="15" t="e">
        <f t="shared" si="3"/>
        <v>#DIV/0!</v>
      </c>
      <c r="F38" s="1">
        <v>50</v>
      </c>
      <c r="G38" s="42">
        <f>3*L38</f>
        <v>0</v>
      </c>
      <c r="H38" s="42">
        <f t="shared" si="4"/>
        <v>0</v>
      </c>
      <c r="I38" s="42">
        <f t="shared" si="5"/>
        <v>0</v>
      </c>
      <c r="J38" s="54">
        <f t="shared" si="6"/>
        <v>0</v>
      </c>
      <c r="K38" s="48" t="s">
        <v>42</v>
      </c>
      <c r="L38" s="43">
        <f>D10</f>
        <v>0</v>
      </c>
      <c r="M38" s="44">
        <f>ROUNDUP(L38/1000*4,0)</f>
        <v>0</v>
      </c>
      <c r="N38" s="46"/>
      <c r="O38" s="46"/>
      <c r="P38" s="46"/>
      <c r="Q38" s="47">
        <f>M38</f>
        <v>0</v>
      </c>
    </row>
    <row r="39" spans="1:17" ht="119" x14ac:dyDescent="0.2">
      <c r="A39" s="6" t="s">
        <v>34</v>
      </c>
      <c r="B39" s="15"/>
      <c r="C39" s="1">
        <f>IF(D5&gt;0,(IF(Q39&gt;16,2,1)),0)</f>
        <v>0</v>
      </c>
      <c r="D39" s="15" t="e">
        <f t="shared" si="2"/>
        <v>#DIV/0!</v>
      </c>
      <c r="E39" s="15" t="e">
        <f t="shared" si="3"/>
        <v>#DIV/0!</v>
      </c>
      <c r="F39" s="1">
        <v>100</v>
      </c>
      <c r="G39" s="42"/>
      <c r="H39" s="42">
        <f t="shared" si="4"/>
        <v>0</v>
      </c>
      <c r="I39" s="42">
        <f t="shared" si="5"/>
        <v>0</v>
      </c>
      <c r="J39" s="54">
        <f t="shared" si="6"/>
        <v>0</v>
      </c>
      <c r="K39" s="48" t="s">
        <v>46</v>
      </c>
      <c r="L39" s="43">
        <f>J22</f>
        <v>3</v>
      </c>
      <c r="M39" s="44">
        <f>ROUNDUP(L39*2,0)</f>
        <v>6</v>
      </c>
      <c r="N39" s="44">
        <f>F10</f>
        <v>0</v>
      </c>
      <c r="O39" s="46">
        <f>ROUNDUP(N39/24*4,0)</f>
        <v>0</v>
      </c>
      <c r="P39" s="46" t="s">
        <v>78</v>
      </c>
      <c r="Q39" s="47">
        <f>M39+O39</f>
        <v>6</v>
      </c>
    </row>
    <row r="40" spans="1:17" ht="17" x14ac:dyDescent="0.2">
      <c r="A40" s="6" t="s">
        <v>28</v>
      </c>
      <c r="B40" s="41" t="s">
        <v>85</v>
      </c>
      <c r="C40" s="1">
        <f>IF(D$6&gt;0,IF(Q40&gt;16,2,1),0)</f>
        <v>0</v>
      </c>
      <c r="D40" s="15" t="e">
        <f t="shared" si="2"/>
        <v>#DIV/0!</v>
      </c>
      <c r="E40" s="15" t="e">
        <f t="shared" si="3"/>
        <v>#DIV/0!</v>
      </c>
      <c r="F40" s="1">
        <v>50</v>
      </c>
      <c r="G40" s="42"/>
      <c r="H40" s="42">
        <f t="shared" si="4"/>
        <v>0</v>
      </c>
      <c r="I40" s="42">
        <f t="shared" si="5"/>
        <v>0</v>
      </c>
      <c r="J40" s="54">
        <f t="shared" si="6"/>
        <v>0</v>
      </c>
      <c r="K40" s="48" t="s">
        <v>29</v>
      </c>
      <c r="L40" s="43">
        <f>H10</f>
        <v>0</v>
      </c>
      <c r="M40" s="44">
        <f>ROUNDUP(L40/6,0)</f>
        <v>0</v>
      </c>
      <c r="N40" s="46"/>
      <c r="O40" s="46"/>
      <c r="P40" s="46"/>
      <c r="Q40" s="47">
        <f t="shared" ref="Q40:Q42" si="7">M40</f>
        <v>0</v>
      </c>
    </row>
    <row r="41" spans="1:17" ht="17" x14ac:dyDescent="0.2">
      <c r="A41" s="6" t="s">
        <v>30</v>
      </c>
      <c r="B41" s="41" t="s">
        <v>85</v>
      </c>
      <c r="C41" s="1">
        <f>IF(D$6&gt;0,IF(Q41&gt;16,2,1),0)</f>
        <v>0</v>
      </c>
      <c r="D41" s="15" t="e">
        <f t="shared" si="2"/>
        <v>#DIV/0!</v>
      </c>
      <c r="E41" s="15" t="e">
        <f t="shared" si="3"/>
        <v>#DIV/0!</v>
      </c>
      <c r="F41" s="1">
        <v>50</v>
      </c>
      <c r="G41" s="42"/>
      <c r="H41" s="42">
        <f t="shared" si="4"/>
        <v>0</v>
      </c>
      <c r="I41" s="42">
        <f t="shared" si="5"/>
        <v>0</v>
      </c>
      <c r="J41" s="54">
        <f t="shared" si="6"/>
        <v>0</v>
      </c>
      <c r="K41" s="48" t="s">
        <v>31</v>
      </c>
      <c r="L41" s="43">
        <f>H10</f>
        <v>0</v>
      </c>
      <c r="M41" s="44">
        <f>ROUNDUP(L41*1.5,0)</f>
        <v>0</v>
      </c>
      <c r="N41" s="46"/>
      <c r="O41" s="46"/>
      <c r="P41" s="46"/>
      <c r="Q41" s="47">
        <f t="shared" si="7"/>
        <v>0</v>
      </c>
    </row>
    <row r="42" spans="1:17" ht="17" x14ac:dyDescent="0.2">
      <c r="A42" s="6" t="s">
        <v>32</v>
      </c>
      <c r="B42" s="41" t="s">
        <v>85</v>
      </c>
      <c r="C42" s="1">
        <f>IF(D$6&gt;0,IF(Q42&gt;16,2,1),0)</f>
        <v>0</v>
      </c>
      <c r="D42" s="15" t="e">
        <f t="shared" si="2"/>
        <v>#DIV/0!</v>
      </c>
      <c r="E42" s="15" t="e">
        <f t="shared" si="3"/>
        <v>#DIV/0!</v>
      </c>
      <c r="F42" s="1">
        <v>50</v>
      </c>
      <c r="G42" s="42"/>
      <c r="H42" s="42">
        <f t="shared" si="4"/>
        <v>0</v>
      </c>
      <c r="I42" s="42">
        <f t="shared" si="5"/>
        <v>0</v>
      </c>
      <c r="J42" s="54">
        <f t="shared" si="6"/>
        <v>0</v>
      </c>
      <c r="K42" s="48" t="s">
        <v>43</v>
      </c>
      <c r="L42" s="43">
        <f>H10</f>
        <v>0</v>
      </c>
      <c r="M42" s="44">
        <f>ROUNDUP(L42*0.5,0)</f>
        <v>0</v>
      </c>
      <c r="N42" s="46"/>
      <c r="O42" s="46"/>
      <c r="P42" s="46"/>
      <c r="Q42" s="47">
        <f t="shared" si="7"/>
        <v>0</v>
      </c>
    </row>
    <row r="43" spans="1:17" ht="85" x14ac:dyDescent="0.2">
      <c r="A43" s="9" t="s">
        <v>70</v>
      </c>
      <c r="B43" s="15"/>
      <c r="C43" s="1">
        <f>IF(D$7&gt;0,IF(Q43&gt;16,2,1),0)</f>
        <v>0</v>
      </c>
      <c r="D43" s="15" t="e">
        <f>MROUND(ROUNDUP(Q43/C43,0),2)+P43</f>
        <v>#DIV/0!</v>
      </c>
      <c r="E43" s="15" t="e">
        <f t="shared" si="3"/>
        <v>#DIV/0!</v>
      </c>
      <c r="F43" s="1">
        <v>100</v>
      </c>
      <c r="G43" s="42"/>
      <c r="H43" s="42">
        <f t="shared" si="4"/>
        <v>0</v>
      </c>
      <c r="I43" s="42">
        <f t="shared" si="5"/>
        <v>0</v>
      </c>
      <c r="J43" s="54">
        <f t="shared" si="6"/>
        <v>0</v>
      </c>
      <c r="K43" s="48" t="s">
        <v>75</v>
      </c>
      <c r="L43" s="43" t="s">
        <v>78</v>
      </c>
      <c r="M43" s="44" t="s">
        <v>78</v>
      </c>
      <c r="N43" s="44">
        <f>F10+L10</f>
        <v>0</v>
      </c>
      <c r="O43" s="46">
        <f>ROUNDUP(N43/24*4,0)</f>
        <v>0</v>
      </c>
      <c r="P43" s="46">
        <v>2</v>
      </c>
      <c r="Q43" s="47">
        <f>O43</f>
        <v>0</v>
      </c>
    </row>
    <row r="44" spans="1:17" ht="170" x14ac:dyDescent="0.2">
      <c r="A44" s="9" t="s">
        <v>76</v>
      </c>
      <c r="B44" s="15"/>
      <c r="C44" s="1">
        <f>IF(D$7&gt;0,IF(Q44&gt;16,2,1),0)</f>
        <v>0</v>
      </c>
      <c r="D44" s="15" t="e">
        <f>MROUND(ROUNDUP(Q44/C44,0),2)</f>
        <v>#DIV/0!</v>
      </c>
      <c r="E44" s="15" t="e">
        <f t="shared" si="3"/>
        <v>#DIV/0!</v>
      </c>
      <c r="F44" s="1">
        <v>100</v>
      </c>
      <c r="G44" s="42"/>
      <c r="H44" s="42">
        <f t="shared" si="4"/>
        <v>0</v>
      </c>
      <c r="I44" s="42">
        <f t="shared" si="5"/>
        <v>0</v>
      </c>
      <c r="J44" s="54">
        <f t="shared" si="6"/>
        <v>0</v>
      </c>
      <c r="K44" s="48" t="s">
        <v>77</v>
      </c>
      <c r="L44" s="43">
        <f>J10</f>
        <v>0</v>
      </c>
      <c r="M44" s="44">
        <f>ROUNDUP(L44/1000,0)</f>
        <v>0</v>
      </c>
      <c r="N44" s="44" t="s">
        <v>78</v>
      </c>
      <c r="O44" s="46" t="s">
        <v>78</v>
      </c>
      <c r="P44" s="46" t="s">
        <v>78</v>
      </c>
      <c r="Q44" s="47">
        <f>M44</f>
        <v>0</v>
      </c>
    </row>
    <row r="45" spans="1:17" ht="17" x14ac:dyDescent="0.2">
      <c r="A45" s="9" t="s">
        <v>71</v>
      </c>
      <c r="B45" s="15"/>
      <c r="C45" s="1">
        <f>IF(D$7&gt;0,IF(Q45&gt;16,2,1),0)</f>
        <v>0</v>
      </c>
      <c r="D45" s="15" t="e">
        <f>MROUND(ROUNDUP(Q45/C45,0),2)</f>
        <v>#DIV/0!</v>
      </c>
      <c r="E45" s="15" t="e">
        <f t="shared" si="3"/>
        <v>#DIV/0!</v>
      </c>
      <c r="F45" s="1">
        <v>100</v>
      </c>
      <c r="G45" s="42"/>
      <c r="H45" s="42">
        <f t="shared" si="4"/>
        <v>0</v>
      </c>
      <c r="I45" s="42">
        <f t="shared" si="5"/>
        <v>0</v>
      </c>
      <c r="J45" s="54">
        <f t="shared" si="6"/>
        <v>0</v>
      </c>
      <c r="K45" s="48" t="s">
        <v>80</v>
      </c>
      <c r="L45" s="43">
        <f>J10</f>
        <v>0</v>
      </c>
      <c r="M45" s="44">
        <f>ROUNDUP(L45/500,0)</f>
        <v>0</v>
      </c>
      <c r="N45" s="44" t="s">
        <v>78</v>
      </c>
      <c r="O45" s="46" t="s">
        <v>78</v>
      </c>
      <c r="P45" s="46" t="s">
        <v>78</v>
      </c>
      <c r="Q45" s="47">
        <f>M45</f>
        <v>0</v>
      </c>
    </row>
    <row r="46" spans="1:17" ht="85" x14ac:dyDescent="0.2">
      <c r="A46" s="9" t="s">
        <v>72</v>
      </c>
      <c r="B46" s="17"/>
      <c r="C46" s="1">
        <f>IF(D$7&gt;0,IF(Q46&gt;16,2,1),0)</f>
        <v>0</v>
      </c>
      <c r="D46" s="15" t="e">
        <f>MROUND(ROUNDUP(Q46/C46,0),2)</f>
        <v>#DIV/0!</v>
      </c>
      <c r="E46" s="15" t="e">
        <f t="shared" si="3"/>
        <v>#DIV/0!</v>
      </c>
      <c r="F46" s="18">
        <v>100</v>
      </c>
      <c r="G46" s="19"/>
      <c r="H46" s="42">
        <f t="shared" si="4"/>
        <v>0</v>
      </c>
      <c r="I46" s="42">
        <f t="shared" si="5"/>
        <v>0</v>
      </c>
      <c r="J46" s="56">
        <f t="shared" si="6"/>
        <v>0</v>
      </c>
      <c r="K46" s="48" t="s">
        <v>79</v>
      </c>
      <c r="L46" s="43">
        <f>J10</f>
        <v>0</v>
      </c>
      <c r="M46" s="44">
        <f>ROUNDUP(L46/1000,0)</f>
        <v>0</v>
      </c>
      <c r="N46" s="20" t="s">
        <v>78</v>
      </c>
      <c r="O46" s="21" t="s">
        <v>78</v>
      </c>
      <c r="P46" s="21" t="s">
        <v>78</v>
      </c>
      <c r="Q46" s="22">
        <f>M46</f>
        <v>0</v>
      </c>
    </row>
    <row r="47" spans="1:17" ht="17" x14ac:dyDescent="0.2">
      <c r="A47" s="6" t="s">
        <v>74</v>
      </c>
      <c r="B47" s="41"/>
      <c r="C47" s="62">
        <f>IF(OR(D5&gt;0,D7&gt;0),1,0)</f>
        <v>0</v>
      </c>
      <c r="D47" s="1">
        <v>4</v>
      </c>
      <c r="E47" s="1">
        <v>8</v>
      </c>
      <c r="F47" s="1">
        <f>100+F10*N10+L10*N10</f>
        <v>100</v>
      </c>
      <c r="G47" s="42" t="e">
        <f>$J$10*6/$C$43</f>
        <v>#DIV/0!</v>
      </c>
      <c r="H47" s="42">
        <f>C47*D47</f>
        <v>0</v>
      </c>
      <c r="I47" s="42">
        <f t="shared" si="5"/>
        <v>0</v>
      </c>
      <c r="J47" s="54">
        <f t="shared" si="6"/>
        <v>0</v>
      </c>
      <c r="K47" s="63"/>
      <c r="L47" s="64"/>
      <c r="M47" s="64"/>
      <c r="N47" s="64"/>
      <c r="O47" s="64"/>
      <c r="P47" s="64"/>
      <c r="Q47" s="65"/>
    </row>
    <row r="48" spans="1:17" ht="18" thickBot="1" x14ac:dyDescent="0.25">
      <c r="A48" s="57" t="s">
        <v>86</v>
      </c>
      <c r="B48" s="58"/>
      <c r="C48" s="59">
        <f>IF(OR(D8&gt;0),ROUNDUP(Q48/D48,0),0)</f>
        <v>0</v>
      </c>
      <c r="D48" s="60">
        <v>4</v>
      </c>
      <c r="E48" s="60">
        <v>8</v>
      </c>
      <c r="F48" s="60">
        <v>40</v>
      </c>
      <c r="G48" s="61"/>
      <c r="H48" s="61">
        <f>C48*D48</f>
        <v>0</v>
      </c>
      <c r="I48" s="61">
        <f t="shared" si="5"/>
        <v>0</v>
      </c>
      <c r="J48" s="55">
        <f t="shared" ref="J48" si="8">F48*C48</f>
        <v>0</v>
      </c>
      <c r="K48" s="66" t="s">
        <v>87</v>
      </c>
      <c r="L48" s="67">
        <f>P10</f>
        <v>0</v>
      </c>
      <c r="M48" s="67">
        <f>ROUNDUP(L48/2000*4,0)</f>
        <v>0</v>
      </c>
      <c r="N48" s="67"/>
      <c r="O48" s="67"/>
      <c r="P48" s="67"/>
      <c r="Q48" s="68">
        <f>M48</f>
        <v>0</v>
      </c>
    </row>
    <row r="49" spans="2:17" ht="17" thickBot="1" x14ac:dyDescent="0.25">
      <c r="Q49"/>
    </row>
    <row r="50" spans="2:17" ht="17" thickBot="1" x14ac:dyDescent="0.25">
      <c r="B50" s="4" t="s">
        <v>35</v>
      </c>
      <c r="C50" s="5">
        <f>SUM(C36:C48)</f>
        <v>0</v>
      </c>
      <c r="D50" s="49"/>
      <c r="E50" s="49"/>
      <c r="F50" s="49"/>
      <c r="G50" s="2"/>
      <c r="H50" s="3">
        <f>SUM(H36:H48)</f>
        <v>0</v>
      </c>
      <c r="I50" s="3">
        <f>SUM(I36:I48)</f>
        <v>0</v>
      </c>
      <c r="J50" s="3">
        <f>SUM(J36:J48)</f>
        <v>0</v>
      </c>
      <c r="Q50"/>
    </row>
    <row r="51" spans="2:17" x14ac:dyDescent="0.2">
      <c r="B51" s="78"/>
      <c r="C51" s="78"/>
      <c r="D51" s="79"/>
    </row>
    <row r="52" spans="2:17" x14ac:dyDescent="0.2">
      <c r="B52" s="78"/>
      <c r="C52" s="78"/>
      <c r="D52" s="79"/>
    </row>
    <row r="53" spans="2:17" x14ac:dyDescent="0.2">
      <c r="B53" s="78"/>
      <c r="C53" s="78"/>
      <c r="D53" s="79"/>
    </row>
    <row r="54" spans="2:17" x14ac:dyDescent="0.2">
      <c r="B54" s="78"/>
      <c r="C54" s="78"/>
      <c r="D54" s="79"/>
    </row>
    <row r="56" spans="2:17" x14ac:dyDescent="0.2">
      <c r="B56" s="78"/>
      <c r="C56" s="78"/>
      <c r="D56" s="79"/>
    </row>
    <row r="57" spans="2:17" x14ac:dyDescent="0.2">
      <c r="B57" s="78"/>
      <c r="C57" s="78"/>
      <c r="D57" s="79"/>
    </row>
    <row r="58" spans="2:17" x14ac:dyDescent="0.2">
      <c r="B58" s="78"/>
      <c r="C58" s="78"/>
      <c r="D58" s="79"/>
    </row>
    <row r="60" spans="2:17" x14ac:dyDescent="0.2">
      <c r="B60" s="78"/>
      <c r="C60" s="78"/>
      <c r="D60" s="79"/>
    </row>
    <row r="61" spans="2:17" x14ac:dyDescent="0.2">
      <c r="B61" s="78"/>
      <c r="C61" s="78"/>
      <c r="D61" s="79"/>
    </row>
    <row r="62" spans="2:17" x14ac:dyDescent="0.2">
      <c r="B62" s="78"/>
      <c r="C62" s="78"/>
      <c r="D62" s="79"/>
    </row>
    <row r="63" spans="2:17" x14ac:dyDescent="0.2">
      <c r="B63" s="78"/>
      <c r="C63" s="78"/>
      <c r="D63" s="79"/>
    </row>
    <row r="65" spans="2:4" x14ac:dyDescent="0.2">
      <c r="B65" s="78"/>
      <c r="C65" s="78"/>
      <c r="D65" s="79"/>
    </row>
    <row r="66" spans="2:4" x14ac:dyDescent="0.2">
      <c r="B66" s="78"/>
      <c r="C66" s="78"/>
      <c r="D66" s="79"/>
    </row>
    <row r="67" spans="2:4" x14ac:dyDescent="0.2">
      <c r="B67" s="78"/>
      <c r="C67" s="78"/>
      <c r="D67" s="79"/>
    </row>
    <row r="68" spans="2:4" x14ac:dyDescent="0.2">
      <c r="B68" s="78"/>
      <c r="C68" s="78"/>
      <c r="D68" s="79"/>
    </row>
    <row r="69" spans="2:4" x14ac:dyDescent="0.2">
      <c r="B69" s="78"/>
      <c r="C69" s="78"/>
      <c r="D69" s="79"/>
    </row>
  </sheetData>
  <mergeCells count="19">
    <mergeCell ref="B60:B63"/>
    <mergeCell ref="C60:C63"/>
    <mergeCell ref="D60:D63"/>
    <mergeCell ref="B65:B69"/>
    <mergeCell ref="C65:C69"/>
    <mergeCell ref="D65:D69"/>
    <mergeCell ref="B51:B54"/>
    <mergeCell ref="C51:C54"/>
    <mergeCell ref="D51:D54"/>
    <mergeCell ref="B56:B58"/>
    <mergeCell ref="C56:C58"/>
    <mergeCell ref="D56:D58"/>
    <mergeCell ref="J23:O25"/>
    <mergeCell ref="D35:E35"/>
    <mergeCell ref="A1:C1"/>
    <mergeCell ref="A15:I15"/>
    <mergeCell ref="K16:K22"/>
    <mergeCell ref="A3:B7"/>
    <mergeCell ref="D1:F1"/>
  </mergeCells>
  <conditionalFormatting sqref="B10">
    <cfRule type="expression" dxfId="9" priority="6">
      <formula>$D$4=0</formula>
    </cfRule>
  </conditionalFormatting>
  <conditionalFormatting sqref="B17:B21 D17:E21 G17:H21">
    <cfRule type="expression" dxfId="8" priority="4">
      <formula>$D$4=0</formula>
    </cfRule>
  </conditionalFormatting>
  <conditionalFormatting sqref="D10">
    <cfRule type="expression" dxfId="7" priority="5">
      <formula>$D$4=0</formula>
    </cfRule>
  </conditionalFormatting>
  <conditionalFormatting sqref="F10">
    <cfRule type="expression" dxfId="6" priority="9">
      <formula>$D$5=0</formula>
    </cfRule>
  </conditionalFormatting>
  <conditionalFormatting sqref="H10">
    <cfRule type="expression" dxfId="5" priority="11">
      <formula>$D$6=0</formula>
    </cfRule>
  </conditionalFormatting>
  <conditionalFormatting sqref="J10">
    <cfRule type="expression" dxfId="4" priority="10">
      <formula>$D$7=0</formula>
    </cfRule>
  </conditionalFormatting>
  <conditionalFormatting sqref="J17:J22">
    <cfRule type="expression" dxfId="3" priority="2">
      <formula>$D$5=0</formula>
    </cfRule>
  </conditionalFormatting>
  <conditionalFormatting sqref="L10">
    <cfRule type="expression" dxfId="2" priority="8" stopIfTrue="1">
      <formula>$D$7=0</formula>
    </cfRule>
  </conditionalFormatting>
  <conditionalFormatting sqref="N10">
    <cfRule type="expression" dxfId="1" priority="7">
      <formula>$D$5+$D$7=0</formula>
    </cfRule>
  </conditionalFormatting>
  <conditionalFormatting sqref="P10">
    <cfRule type="expression" dxfId="0" priority="1" stopIfTrue="1">
      <formula>$D$8=0</formula>
    </cfRule>
  </conditionalFormatting>
  <dataValidations count="1">
    <dataValidation type="list" allowBlank="1" showInputMessage="1" showErrorMessage="1" sqref="L48:P48 D4:D8" xr:uid="{001F00AE-002D-4A45-85AD-00A200A3004E}">
      <formula1>"1,0"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Гибрид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revision>3</cp:revision>
  <dcterms:created xsi:type="dcterms:W3CDTF">2024-05-23T13:01:03Z</dcterms:created>
  <dcterms:modified xsi:type="dcterms:W3CDTF">2024-11-20T11:25:33Z</dcterms:modified>
</cp:coreProperties>
</file>