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ademidov\Desktop\"/>
    </mc:Choice>
  </mc:AlternateContent>
  <xr:revisionPtr revIDLastSave="0" documentId="13_ncr:1_{F079DD30-A9B1-46A8-AC13-0799E96B2DA6}" xr6:coauthVersionLast="47" xr6:coauthVersionMax="47" xr10:uidLastSave="{00000000-0000-0000-0000-000000000000}"/>
  <bookViews>
    <workbookView xWindow="-108" yWindow="-108" windowWidth="30936" windowHeight="16896" tabRatio="583" activeTab="3" xr2:uid="{00000000-000D-0000-FFFF-FFFF00000000}"/>
  </bookViews>
  <sheets>
    <sheet name="Enterprise HA" sheetId="5" r:id="rId1"/>
    <sheet name="Standard HA" sheetId="6" r:id="rId2"/>
    <sheet name="Basic" sheetId="9" r:id="rId3"/>
    <sheet name="All in one" sheetId="8" r:id="rId4"/>
  </sheets>
  <definedNames>
    <definedName name="_xlnm._FilterDatabase" localSheetId="0" hidden="1">'Enterprise HA'!$A$53:$F$71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9" i="8" l="1"/>
  <c r="C33" i="8"/>
  <c r="D33" i="8" s="1"/>
  <c r="C34" i="9"/>
  <c r="D34" i="9" s="1"/>
  <c r="C39" i="6"/>
  <c r="D39" i="6" s="1"/>
  <c r="L32" i="8"/>
  <c r="L33" i="9"/>
  <c r="L37" i="6"/>
  <c r="L38" i="5"/>
  <c r="E70" i="6"/>
  <c r="E69" i="6"/>
  <c r="E68" i="6"/>
  <c r="E67" i="6"/>
  <c r="E66" i="6"/>
  <c r="E65" i="6"/>
  <c r="E69" i="5"/>
  <c r="E68" i="5"/>
  <c r="E67" i="5"/>
  <c r="E66" i="5"/>
  <c r="E71" i="6" l="1"/>
  <c r="D71" i="6"/>
  <c r="C71" i="6"/>
  <c r="B71" i="6"/>
  <c r="B10" i="8"/>
  <c r="H8" i="8"/>
  <c r="L34" i="8" s="1"/>
  <c r="D8" i="8"/>
  <c r="F8" i="8" s="1"/>
  <c r="E33" i="8" s="1"/>
  <c r="B11" i="9"/>
  <c r="H9" i="9"/>
  <c r="E40" i="9" s="1"/>
  <c r="E45" i="9" s="1"/>
  <c r="D9" i="9"/>
  <c r="F9" i="9" s="1"/>
  <c r="B10" i="6"/>
  <c r="E38" i="6" s="1"/>
  <c r="H8" i="6"/>
  <c r="D8" i="6"/>
  <c r="F8" i="6" s="1"/>
  <c r="K30" i="8"/>
  <c r="C30" i="8" s="1"/>
  <c r="D30" i="8" s="1"/>
  <c r="B40" i="8"/>
  <c r="K34" i="8"/>
  <c r="K32" i="8"/>
  <c r="B21" i="8"/>
  <c r="B45" i="9"/>
  <c r="I41" i="9"/>
  <c r="K35" i="9"/>
  <c r="K33" i="9"/>
  <c r="K31" i="9"/>
  <c r="C31" i="9" s="1"/>
  <c r="B22" i="9"/>
  <c r="D69" i="6"/>
  <c r="C69" i="6"/>
  <c r="D68" i="6"/>
  <c r="I68" i="6" s="1"/>
  <c r="C68" i="6"/>
  <c r="D70" i="6"/>
  <c r="C70" i="6"/>
  <c r="D47" i="6"/>
  <c r="C47" i="6"/>
  <c r="D49" i="6"/>
  <c r="C49" i="6"/>
  <c r="B49" i="6"/>
  <c r="D48" i="6"/>
  <c r="C48" i="6"/>
  <c r="D67" i="6"/>
  <c r="C67" i="6"/>
  <c r="I66" i="6"/>
  <c r="H66" i="6"/>
  <c r="I65" i="6"/>
  <c r="H65" i="6"/>
  <c r="I64" i="6"/>
  <c r="H64" i="6"/>
  <c r="I63" i="6"/>
  <c r="H63" i="6"/>
  <c r="I57" i="6"/>
  <c r="D46" i="6"/>
  <c r="C46" i="6"/>
  <c r="K41" i="6"/>
  <c r="C41" i="6" s="1"/>
  <c r="H62" i="6" s="1"/>
  <c r="K40" i="6"/>
  <c r="K38" i="6"/>
  <c r="K37" i="6"/>
  <c r="K35" i="6"/>
  <c r="C35" i="6" s="1"/>
  <c r="H56" i="6" s="1"/>
  <c r="K34" i="6"/>
  <c r="C34" i="6" s="1"/>
  <c r="H55" i="6" s="1"/>
  <c r="B21" i="6"/>
  <c r="L38" i="6"/>
  <c r="C20" i="6"/>
  <c r="D32" i="8" l="1"/>
  <c r="C32" i="8"/>
  <c r="D33" i="9"/>
  <c r="I42" i="9" s="1"/>
  <c r="C33" i="9"/>
  <c r="H42" i="9" s="1"/>
  <c r="D37" i="6"/>
  <c r="I58" i="6" s="1"/>
  <c r="C37" i="6"/>
  <c r="H58" i="6" s="1"/>
  <c r="C34" i="8"/>
  <c r="I70" i="6"/>
  <c r="F59" i="6"/>
  <c r="H40" i="9"/>
  <c r="E39" i="8"/>
  <c r="E40" i="8" s="1"/>
  <c r="K33" i="8"/>
  <c r="C20" i="8"/>
  <c r="I20" i="8" s="1"/>
  <c r="C17" i="8"/>
  <c r="I17" i="8" s="1"/>
  <c r="D45" i="9"/>
  <c r="C21" i="9"/>
  <c r="I21" i="9" s="1"/>
  <c r="C18" i="9"/>
  <c r="F18" i="9" s="1"/>
  <c r="C17" i="9"/>
  <c r="F17" i="9" s="1"/>
  <c r="C19" i="9"/>
  <c r="I19" i="9" s="1"/>
  <c r="C20" i="9"/>
  <c r="F20" i="9" s="1"/>
  <c r="C16" i="8"/>
  <c r="C18" i="8"/>
  <c r="I18" i="8" s="1"/>
  <c r="C19" i="8"/>
  <c r="I19" i="8" s="1"/>
  <c r="F16" i="8"/>
  <c r="I16" i="8"/>
  <c r="F20" i="8"/>
  <c r="E34" i="9"/>
  <c r="K34" i="9"/>
  <c r="F43" i="9"/>
  <c r="L35" i="9"/>
  <c r="C35" i="9" s="1"/>
  <c r="D31" i="9"/>
  <c r="I40" i="9" s="1"/>
  <c r="C45" i="9"/>
  <c r="H70" i="6"/>
  <c r="C38" i="6"/>
  <c r="D38" i="6" s="1"/>
  <c r="I59" i="6" s="1"/>
  <c r="H69" i="6"/>
  <c r="I69" i="6"/>
  <c r="I20" i="6"/>
  <c r="F20" i="6"/>
  <c r="H67" i="6"/>
  <c r="D34" i="6"/>
  <c r="I55" i="6" s="1"/>
  <c r="I67" i="6"/>
  <c r="C16" i="6"/>
  <c r="L40" i="6"/>
  <c r="C40" i="6" s="1"/>
  <c r="D41" i="6"/>
  <c r="I62" i="6" s="1"/>
  <c r="C17" i="6"/>
  <c r="D35" i="6"/>
  <c r="I56" i="6" s="1"/>
  <c r="H68" i="6"/>
  <c r="C18" i="6"/>
  <c r="C19" i="6"/>
  <c r="D34" i="8" l="1"/>
  <c r="F17" i="8"/>
  <c r="H59" i="6"/>
  <c r="F18" i="8"/>
  <c r="F21" i="8" s="1"/>
  <c r="C21" i="8"/>
  <c r="I21" i="8"/>
  <c r="F19" i="8"/>
  <c r="F21" i="9"/>
  <c r="I17" i="9"/>
  <c r="G21" i="8"/>
  <c r="G22" i="9"/>
  <c r="I18" i="9"/>
  <c r="F19" i="9"/>
  <c r="I20" i="9"/>
  <c r="C22" i="9"/>
  <c r="H22" i="9"/>
  <c r="H21" i="8"/>
  <c r="D35" i="9"/>
  <c r="I44" i="9" s="1"/>
  <c r="H44" i="9"/>
  <c r="I22" i="9"/>
  <c r="F22" i="9"/>
  <c r="K32" i="9" s="1"/>
  <c r="C32" i="9" s="1"/>
  <c r="H41" i="9" s="1"/>
  <c r="I43" i="9"/>
  <c r="H43" i="9"/>
  <c r="H61" i="6"/>
  <c r="D40" i="6"/>
  <c r="I61" i="6" s="1"/>
  <c r="I19" i="6"/>
  <c r="F19" i="6"/>
  <c r="I18" i="6"/>
  <c r="F18" i="6"/>
  <c r="I17" i="6"/>
  <c r="F17" i="6"/>
  <c r="I16" i="6"/>
  <c r="F16" i="6"/>
  <c r="H21" i="6"/>
  <c r="C21" i="6"/>
  <c r="G21" i="6"/>
  <c r="F60" i="6"/>
  <c r="K39" i="6"/>
  <c r="E39" i="6"/>
  <c r="F21" i="6" l="1"/>
  <c r="K31" i="8"/>
  <c r="C31" i="8" s="1"/>
  <c r="C39" i="8" s="1"/>
  <c r="K36" i="6"/>
  <c r="C36" i="6" s="1"/>
  <c r="H57" i="6" s="1"/>
  <c r="H60" i="6"/>
  <c r="I60" i="6"/>
  <c r="I21" i="6"/>
  <c r="D40" i="8" l="1"/>
  <c r="C40" i="8"/>
  <c r="I58" i="5" l="1"/>
  <c r="B10" i="5"/>
  <c r="H8" i="5"/>
  <c r="D8" i="5"/>
  <c r="E39" i="5" l="1"/>
  <c r="F61" i="5"/>
  <c r="K38" i="5"/>
  <c r="I67" i="5"/>
  <c r="I66" i="5"/>
  <c r="I65" i="5"/>
  <c r="I64" i="5"/>
  <c r="D70" i="5"/>
  <c r="C70" i="5"/>
  <c r="D69" i="5"/>
  <c r="C69" i="5"/>
  <c r="D68" i="5"/>
  <c r="C68" i="5"/>
  <c r="D48" i="5"/>
  <c r="D49" i="5"/>
  <c r="D47" i="5"/>
  <c r="C49" i="5"/>
  <c r="C48" i="5"/>
  <c r="C47" i="5"/>
  <c r="H67" i="5"/>
  <c r="H66" i="5"/>
  <c r="H65" i="5"/>
  <c r="H64" i="5"/>
  <c r="E70" i="5"/>
  <c r="B69" i="5"/>
  <c r="B68" i="5"/>
  <c r="B48" i="5"/>
  <c r="B47" i="5"/>
  <c r="K39" i="5"/>
  <c r="K42" i="5"/>
  <c r="C42" i="5" s="1"/>
  <c r="K36" i="5"/>
  <c r="K35" i="5"/>
  <c r="C35" i="5" s="1"/>
  <c r="B21" i="5"/>
  <c r="C38" i="5" l="1"/>
  <c r="H59" i="5" s="1"/>
  <c r="D38" i="5"/>
  <c r="I59" i="5" s="1"/>
  <c r="I70" i="5"/>
  <c r="H70" i="5"/>
  <c r="C16" i="5"/>
  <c r="I16" i="5" s="1"/>
  <c r="F60" i="5"/>
  <c r="E40" i="5"/>
  <c r="C36" i="5"/>
  <c r="H57" i="5" s="1"/>
  <c r="H56" i="5"/>
  <c r="I69" i="5"/>
  <c r="D42" i="5"/>
  <c r="I63" i="5" s="1"/>
  <c r="I68" i="5"/>
  <c r="H63" i="5"/>
  <c r="B71" i="5"/>
  <c r="C17" i="5"/>
  <c r="I17" i="5" s="1"/>
  <c r="C19" i="5"/>
  <c r="F19" i="5" s="1"/>
  <c r="C20" i="5"/>
  <c r="C18" i="5"/>
  <c r="K40" i="5"/>
  <c r="C40" i="5" s="1"/>
  <c r="D40" i="5" s="1"/>
  <c r="F16" i="5" l="1"/>
  <c r="D36" i="5"/>
  <c r="I57" i="5" s="1"/>
  <c r="D35" i="5"/>
  <c r="I56" i="5" s="1"/>
  <c r="G21" i="5"/>
  <c r="F17" i="5"/>
  <c r="I19" i="5"/>
  <c r="I18" i="5"/>
  <c r="F18" i="5"/>
  <c r="F20" i="5"/>
  <c r="I20" i="5"/>
  <c r="C21" i="5"/>
  <c r="H21" i="5"/>
  <c r="I61" i="5" l="1"/>
  <c r="H61" i="5"/>
  <c r="F21" i="5"/>
  <c r="K37" i="5" s="1"/>
  <c r="C37" i="5" s="1"/>
  <c r="I21" i="5"/>
  <c r="H58" i="5" l="1"/>
  <c r="K41" i="5"/>
  <c r="L41" i="5"/>
  <c r="C41" i="5" l="1"/>
  <c r="L39" i="5"/>
  <c r="C39" i="5" s="1"/>
  <c r="E71" i="5"/>
  <c r="D41" i="5" l="1"/>
  <c r="I62" i="5" s="1"/>
  <c r="H62" i="5"/>
  <c r="D39" i="5"/>
  <c r="I60" i="5" s="1"/>
  <c r="H60" i="5"/>
  <c r="H69" i="5" l="1"/>
  <c r="C71" i="5"/>
  <c r="H68" i="5"/>
  <c r="D71" i="5" s="1"/>
</calcChain>
</file>

<file path=xl/sharedStrings.xml><?xml version="1.0" encoding="utf-8"?>
<sst xmlns="http://schemas.openxmlformats.org/spreadsheetml/2006/main" count="362" uniqueCount="103">
  <si>
    <t>Участников конференций в пике</t>
  </si>
  <si>
    <t xml:space="preserve">Пользователей одновременно подключающихся к конференциям извне </t>
  </si>
  <si>
    <t>Пользователей одновременно смотрят видео на портале DION Video</t>
  </si>
  <si>
    <t xml:space="preserve">Загруженных пользователями на портал новых видеозаписей в сутки (в часах) </t>
  </si>
  <si>
    <t>Максимальное количество одновременных пользователей онлайн во всех разделах системы суммарно</t>
  </si>
  <si>
    <t>Профиль конференции</t>
  </si>
  <si>
    <t>Процент пользователей в конференции данного типа</t>
  </si>
  <si>
    <t>Пользователей</t>
  </si>
  <si>
    <t>Размер конференции (среднее кол-во одновременных участников)</t>
  </si>
  <si>
    <t>Микрофонов всего</t>
  </si>
  <si>
    <t>Кол-во конференций</t>
  </si>
  <si>
    <t>тип1 (2 польз)</t>
  </si>
  <si>
    <t>тип2 (3-5 польз)</t>
  </si>
  <si>
    <t>тип3 (6-10 польз)</t>
  </si>
  <si>
    <t>тип4 (10-30 польз)</t>
  </si>
  <si>
    <t>тип 5 (30+ польз)</t>
  </si>
  <si>
    <t>total</t>
  </si>
  <si>
    <t>vCPU</t>
  </si>
  <si>
    <t>CHATS</t>
  </si>
  <si>
    <t>APPS</t>
  </si>
  <si>
    <t>MEDIA</t>
  </si>
  <si>
    <t xml:space="preserve">100 активностей 1 vCPU </t>
  </si>
  <si>
    <t>SIP SERVER</t>
  </si>
  <si>
    <t>VIDEO</t>
  </si>
  <si>
    <t>TURN</t>
  </si>
  <si>
    <t>RECORD</t>
  </si>
  <si>
    <t>Сервисы инфраструктуры</t>
  </si>
  <si>
    <t>setupvm</t>
  </si>
  <si>
    <t>minio (S3)</t>
  </si>
  <si>
    <t>Redis</t>
  </si>
  <si>
    <t>Postgresql</t>
  </si>
  <si>
    <t>Consul</t>
  </si>
  <si>
    <t>Kafka</t>
  </si>
  <si>
    <t>Используется</t>
  </si>
  <si>
    <t>logvm</t>
  </si>
  <si>
    <t>RAM</t>
  </si>
  <si>
    <t>monitoringvm</t>
  </si>
  <si>
    <t>infravm1 основная</t>
  </si>
  <si>
    <t>minio + redis + postresql + consul + kafka</t>
  </si>
  <si>
    <t>infravm2 S3</t>
  </si>
  <si>
    <t xml:space="preserve">minio </t>
  </si>
  <si>
    <t>infravm3 кворум</t>
  </si>
  <si>
    <t>redis + postresql + consul + kafka</t>
  </si>
  <si>
    <t>Infra LB</t>
  </si>
  <si>
    <t>Диск резервируется на всех 4 infra VM с S3 в объеме равном необходимому полезному дисковому пространству, разделенному пополам</t>
  </si>
  <si>
    <t>1 vCPU на 250 пользователей</t>
  </si>
  <si>
    <t>1 vCPU на 250 пользователей.
Для обработки 6 загруженных на портал записей длиной час за сутки требуется 1 дополнительный vCPU</t>
  </si>
  <si>
    <t>Профиль конференции задается средним количеством пользователей в конференции, процентом включенных микрофонов, камер, демонстраций экрана, активных записей. Можно изменить набор типов.
Значения по умолчанию взяты из статистики по облаку.</t>
  </si>
  <si>
    <t>BASIC VM</t>
  </si>
  <si>
    <t>Если известно максимальное количество одновременно ведущихся записей конференций в пике, можно указать это значение вручную в красной ячейке. Это значение влияет на масштабирование сервисов записей для поддержки нагрузки в пике. По умолчанию 3 одновременные записи считается минимальным значением.
Исходная формула в ячейке =ОКРУГЛВВЕРХ(I7*J7/100+I8*J8/100+I9*J9/100+I10*J10/100+I11*J11/100;0)</t>
  </si>
  <si>
    <t>Процент пользователей с включенными камерами %</t>
  </si>
  <si>
    <t>Пользователей с включенными микрофонами в конференции в среднем (шт)</t>
  </si>
  <si>
    <t>Процент конференций, где ведется демонстрация экрана %</t>
  </si>
  <si>
    <t>Процент конференций с записью %</t>
  </si>
  <si>
    <t>Глубина хранения  видеозаписей, записей конференций (в днях)</t>
  </si>
  <si>
    <t>Глубина хранения файлов в чатах (в днях)</t>
  </si>
  <si>
    <t>Глубина хранения журналов аудита (в днях)</t>
  </si>
  <si>
    <t>DION LB</t>
  </si>
  <si>
    <t>Формула расчета кол-ва ядер</t>
  </si>
  <si>
    <t>Нагрузка по обработке видео (для сервисов видео и записи идет в дополнение к основной)</t>
  </si>
  <si>
    <t>Основная нагрузка (в условных единицах - могут быть пользователи, кол-во звонков или записей и т.д.)</t>
  </si>
  <si>
    <t>Кол-во VM</t>
  </si>
  <si>
    <t>Общая пропускная способность (Мбит/сек)</t>
  </si>
  <si>
    <t>Типы конференций и распределение пользователей</t>
  </si>
  <si>
    <t>2 ЦОД + 1 площадка для кворума инфраструктуры</t>
  </si>
  <si>
    <t>Диск на каждой VM (ГБ)</t>
  </si>
  <si>
    <t>Cуммарно RAM (ГБ)</t>
  </si>
  <si>
    <t>Роль</t>
  </si>
  <si>
    <t>Расчет конфигурации Enterprise HA.</t>
  </si>
  <si>
    <t>Объем хранилища S3 рассчитывается как 0,15G Gb/usr в год на аудит и сообщения, 0,25Gb/usr в год файлы в чатах + по 1 Гб на час записи.</t>
  </si>
  <si>
    <t>2 vCPU на одну запись конференции. Для обработки 6 часовых записей в сутки требуется 1 доп. vCPU.</t>
  </si>
  <si>
    <t>1 vCPU на 1000 пользователей. При наличии GSLB или иного механизма балансировки, можно использовать все экземпляры в активном режиме. Кол-во и размер Infra LB фиксированные.</t>
  </si>
  <si>
    <t>Фиксированный размер и количество</t>
  </si>
  <si>
    <t>Распределение сервисов Infra 1 - 3</t>
  </si>
  <si>
    <t>RAM на каждой VM (ГБ)</t>
  </si>
  <si>
    <t>Cуммарно vCPU (шт)</t>
  </si>
  <si>
    <t>vCPU на каждой VM (шт)</t>
  </si>
  <si>
    <t>Итого:</t>
  </si>
  <si>
    <t>Проверка расчета CPU</t>
  </si>
  <si>
    <t>Проверка расчета RAM</t>
  </si>
  <si>
    <t>Количество виртуальных машин определяется вручную индивидуально, исходя из суммарных требований по нагрузке (столбцы C,D) и требований к отказоустойчивости, за исключением сервисов, для которых количество VM указано в желтой ячейке.</t>
  </si>
  <si>
    <t>Финальный список VM
*подсказка</t>
  </si>
  <si>
    <t>Расчет конфигурации Standard HA.</t>
  </si>
  <si>
    <t>Не менее 4 Гб и не более 8 Гб</t>
  </si>
  <si>
    <t>Глубина хранения лог-файлов на серверe logvm  (в днях)</t>
  </si>
  <si>
    <t>infravm2 основная</t>
  </si>
  <si>
    <t>infravm3 основная</t>
  </si>
  <si>
    <t>infravm4 S3</t>
  </si>
  <si>
    <t>Расчет конфигурации Basic.</t>
  </si>
  <si>
    <t>Расчет конфигурации All-in-one.</t>
  </si>
  <si>
    <t>All-in-one VM</t>
  </si>
  <si>
    <t>Данным цветом отмечено поле, которое необходимо заполнить</t>
  </si>
  <si>
    <t>Данным цветом отмечены поля для заполнения, в некоторых из них проставлены значения по умолчанию, их можно знаменить.</t>
  </si>
  <si>
    <t>Данным цветом отмечены поля, которые содержат формулы и заполняются автоматически. Их можно заменить, но стоит учитывать, что формула расчитывающая среднестатистическое значение будет удалена при редактировании ячейки</t>
  </si>
  <si>
    <t>Данным цветом отмечены поля для заполнения, в некоторых из них проставлены значения по умолчанию, их можно заменить.</t>
  </si>
  <si>
    <t>Данным цветом отмечены поля, которые содержат формулы и заполняются автоматически. Менять их значения не следует.</t>
  </si>
  <si>
    <t>Записей конференций в сутки (в часах)
Для примерной оценки можно взять значение ячейки J21 и умножить его на 6 или 8 (6 или 8 рабочих часов с пиковой нагрузкой по записям)</t>
  </si>
  <si>
    <t>SIP подключений с видео</t>
  </si>
  <si>
    <t>SIP подключений (аудио и видео)</t>
  </si>
  <si>
    <t>Учитывается количество SIP подключений аудио и видео</t>
  </si>
  <si>
    <t>1 vCPU на 100 пользователей</t>
  </si>
  <si>
    <t>/дата составления/</t>
  </si>
  <si>
    <t>Версия калькулятора от 18.08.2025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</si>
</sst>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2"/>
      <color theme="1"/>
      <name val="Calibri"/>
      <scheme val="minor"/>
    </font>
    <font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rgb="FF9C5700"/>
      <name val="Calibri"/>
      <family val="2"/>
      <scheme val="minor"/>
    </font>
    <font>
      <sz val="12"/>
      <color rgb="FF006100"/>
      <name val="Calibri"/>
      <family val="2"/>
      <scheme val="minor"/>
    </font>
    <font>
      <sz val="12"/>
      <name val="Calibri"/>
      <family val="2"/>
    </font>
    <font>
      <sz val="10"/>
      <color theme="1"/>
      <name val="Arial"/>
      <family val="2"/>
    </font>
    <font>
      <b/>
      <sz val="12"/>
      <name val="Calibri"/>
      <family val="2"/>
    </font>
    <font>
      <sz val="10"/>
      <name val="JetBrains Mono"/>
    </font>
    <font>
      <b/>
      <sz val="10"/>
      <color theme="1"/>
      <name val="Arial"/>
      <family val="2"/>
    </font>
    <font>
      <b/>
      <sz val="10"/>
      <name val="JetBrains Mono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 (Основной текст)"/>
      <charset val="204"/>
    </font>
    <font>
      <sz val="10"/>
      <color theme="1"/>
      <name val="Calibri"/>
      <family val="2"/>
      <charset val="204"/>
      <scheme val="minor"/>
    </font>
    <font>
      <b/>
      <sz val="14"/>
      <color theme="1" tint="0.34998626667073579"/>
      <name val="Calibri"/>
      <family val="2"/>
      <scheme val="minor"/>
    </font>
    <font>
      <sz val="12"/>
      <color theme="1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rgb="FFFFEB9C"/>
        <bgColor rgb="FFFFEB9C"/>
      </patternFill>
    </fill>
    <fill>
      <patternFill patternType="solid">
        <fgColor rgb="FFC6EFCE"/>
        <bgColor rgb="FFC6EFCE"/>
      </patternFill>
    </fill>
    <fill>
      <patternFill patternType="solid">
        <fgColor theme="0"/>
        <bgColor theme="0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0"/>
        <bgColor rgb="FFFFEB9C"/>
      </patternFill>
    </fill>
    <fill>
      <patternFill patternType="solid">
        <fgColor theme="0" tint="-4.9989318521683403E-2"/>
        <bgColor rgb="FFFFEB9C"/>
      </patternFill>
    </fill>
    <fill>
      <patternFill patternType="solid">
        <fgColor theme="5" tint="0.79998168889431442"/>
        <bgColor indexed="65"/>
      </patternFill>
    </fill>
    <fill>
      <patternFill patternType="solid">
        <fgColor rgb="FFA3F3F9"/>
        <bgColor rgb="FFFFEB9C"/>
      </patternFill>
    </fill>
    <fill>
      <patternFill patternType="solid">
        <fgColor rgb="FFA3F3F9"/>
        <bgColor rgb="FFC6EFCE"/>
      </patternFill>
    </fill>
    <fill>
      <patternFill patternType="solid">
        <fgColor rgb="FFA3F3F9"/>
        <bgColor indexed="64"/>
      </patternFill>
    </fill>
  </fills>
  <borders count="3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medium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</borders>
  <cellStyleXfs count="5">
    <xf numFmtId="0" fontId="0" fillId="0" borderId="0"/>
    <xf numFmtId="0" fontId="4" fillId="2" borderId="0" applyNumberFormat="0" applyBorder="0" applyProtection="0"/>
    <xf numFmtId="0" fontId="5" fillId="3" borderId="0" applyNumberFormat="0" applyBorder="0" applyProtection="0"/>
    <xf numFmtId="0" fontId="3" fillId="5" borderId="0" applyNumberFormat="0" applyBorder="0" applyAlignment="0" applyProtection="0"/>
    <xf numFmtId="0" fontId="1" fillId="8" borderId="0" applyNumberFormat="0" applyBorder="0" applyAlignment="0" applyProtection="0"/>
  </cellStyleXfs>
  <cellXfs count="163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  <xf numFmtId="0" fontId="0" fillId="0" borderId="0" xfId="0" applyAlignment="1">
      <alignment wrapText="1"/>
    </xf>
    <xf numFmtId="0" fontId="5" fillId="3" borderId="0" xfId="2"/>
    <xf numFmtId="0" fontId="6" fillId="0" borderId="1" xfId="0" applyFont="1" applyBorder="1" applyAlignment="1">
      <alignment horizontal="left" wrapText="1"/>
    </xf>
    <xf numFmtId="0" fontId="0" fillId="0" borderId="1" xfId="0" applyBorder="1"/>
    <xf numFmtId="1" fontId="5" fillId="3" borderId="1" xfId="2" applyNumberFormat="1" applyBorder="1" applyAlignment="1">
      <alignment horizontal="right" wrapText="1"/>
    </xf>
    <xf numFmtId="1" fontId="6" fillId="0" borderId="1" xfId="0" applyNumberFormat="1" applyFont="1" applyBorder="1" applyAlignment="1">
      <alignment horizontal="right" wrapText="1"/>
    </xf>
    <xf numFmtId="1" fontId="5" fillId="3" borderId="1" xfId="2" applyNumberFormat="1" applyBorder="1" applyAlignment="1">
      <alignment horizontal="left" wrapText="1"/>
    </xf>
    <xf numFmtId="0" fontId="9" fillId="0" borderId="2" xfId="0" applyFont="1" applyBorder="1" applyAlignment="1">
      <alignment wrapText="1"/>
    </xf>
    <xf numFmtId="0" fontId="10" fillId="0" borderId="3" xfId="0" applyFont="1" applyBorder="1" applyAlignment="1">
      <alignment wrapText="1"/>
    </xf>
    <xf numFmtId="0" fontId="10" fillId="0" borderId="4" xfId="0" applyFont="1" applyBorder="1" applyAlignment="1">
      <alignment wrapText="1"/>
    </xf>
    <xf numFmtId="0" fontId="0" fillId="0" borderId="6" xfId="0" applyBorder="1"/>
    <xf numFmtId="0" fontId="9" fillId="0" borderId="5" xfId="0" applyFont="1" applyBorder="1" applyAlignment="1">
      <alignment wrapText="1"/>
    </xf>
    <xf numFmtId="0" fontId="0" fillId="4" borderId="1" xfId="0" applyFill="1" applyBorder="1"/>
    <xf numFmtId="1" fontId="4" fillId="2" borderId="1" xfId="1" applyNumberFormat="1" applyBorder="1"/>
    <xf numFmtId="1" fontId="0" fillId="0" borderId="6" xfId="0" applyNumberFormat="1" applyBorder="1"/>
    <xf numFmtId="0" fontId="0" fillId="0" borderId="5" xfId="0" applyBorder="1" applyAlignment="1">
      <alignment wrapText="1"/>
    </xf>
    <xf numFmtId="0" fontId="7" fillId="0" borderId="5" xfId="0" applyFont="1" applyBorder="1" applyAlignment="1">
      <alignment wrapText="1"/>
    </xf>
    <xf numFmtId="0" fontId="7" fillId="0" borderId="1" xfId="0" applyFont="1" applyBorder="1"/>
    <xf numFmtId="1" fontId="7" fillId="0" borderId="6" xfId="0" applyNumberFormat="1" applyFont="1" applyBorder="1"/>
    <xf numFmtId="0" fontId="0" fillId="0" borderId="8" xfId="0" applyBorder="1" applyAlignment="1">
      <alignment wrapText="1"/>
    </xf>
    <xf numFmtId="1" fontId="4" fillId="2" borderId="9" xfId="1" applyNumberFormat="1" applyBorder="1"/>
    <xf numFmtId="1" fontId="4" fillId="2" borderId="3" xfId="1" applyNumberFormat="1" applyBorder="1"/>
    <xf numFmtId="0" fontId="9" fillId="0" borderId="8" xfId="0" applyFont="1" applyBorder="1" applyAlignment="1">
      <alignment wrapText="1"/>
    </xf>
    <xf numFmtId="0" fontId="13" fillId="0" borderId="5" xfId="0" applyFont="1" applyBorder="1" applyAlignment="1">
      <alignment wrapText="1"/>
    </xf>
    <xf numFmtId="0" fontId="13" fillId="0" borderId="0" xfId="0" applyFont="1" applyAlignment="1">
      <alignment wrapText="1"/>
    </xf>
    <xf numFmtId="1" fontId="4" fillId="2" borderId="6" xfId="1" applyNumberFormat="1" applyBorder="1"/>
    <xf numFmtId="0" fontId="12" fillId="0" borderId="3" xfId="0" applyFont="1" applyBorder="1" applyAlignment="1">
      <alignment wrapText="1"/>
    </xf>
    <xf numFmtId="1" fontId="4" fillId="2" borderId="20" xfId="1" applyNumberFormat="1" applyBorder="1"/>
    <xf numFmtId="1" fontId="4" fillId="2" borderId="22" xfId="1" applyNumberFormat="1" applyBorder="1"/>
    <xf numFmtId="0" fontId="11" fillId="0" borderId="2" xfId="0" applyFont="1" applyBorder="1" applyAlignment="1">
      <alignment wrapText="1"/>
    </xf>
    <xf numFmtId="1" fontId="0" fillId="0" borderId="19" xfId="0" applyNumberFormat="1" applyBorder="1"/>
    <xf numFmtId="0" fontId="0" fillId="0" borderId="12" xfId="0" applyBorder="1" applyAlignment="1">
      <alignment horizontal="left"/>
    </xf>
    <xf numFmtId="0" fontId="6" fillId="0" borderId="6" xfId="0" applyFont="1" applyBorder="1" applyAlignment="1">
      <alignment horizontal="left" wrapText="1"/>
    </xf>
    <xf numFmtId="0" fontId="0" fillId="0" borderId="5" xfId="0" applyBorder="1"/>
    <xf numFmtId="1" fontId="5" fillId="3" borderId="6" xfId="2" applyNumberFormat="1" applyBorder="1" applyAlignment="1">
      <alignment horizontal="right" wrapText="1"/>
    </xf>
    <xf numFmtId="0" fontId="6" fillId="0" borderId="8" xfId="0" applyFont="1" applyBorder="1" applyAlignment="1">
      <alignment horizontal="left" wrapText="1"/>
    </xf>
    <xf numFmtId="1" fontId="6" fillId="0" borderId="9" xfId="0" applyNumberFormat="1" applyFont="1" applyBorder="1" applyAlignment="1">
      <alignment horizontal="right" wrapText="1"/>
    </xf>
    <xf numFmtId="0" fontId="0" fillId="0" borderId="9" xfId="0" applyBorder="1" applyAlignment="1">
      <alignment horizontal="left" wrapText="1"/>
    </xf>
    <xf numFmtId="1" fontId="4" fillId="6" borderId="6" xfId="1" applyNumberFormat="1" applyFill="1" applyBorder="1"/>
    <xf numFmtId="1" fontId="4" fillId="6" borderId="10" xfId="1" applyNumberFormat="1" applyFill="1" applyBorder="1"/>
    <xf numFmtId="1" fontId="4" fillId="2" borderId="28" xfId="1" applyNumberFormat="1" applyBorder="1"/>
    <xf numFmtId="0" fontId="5" fillId="3" borderId="1" xfId="2" applyBorder="1"/>
    <xf numFmtId="0" fontId="3" fillId="5" borderId="0" xfId="3"/>
    <xf numFmtId="0" fontId="3" fillId="5" borderId="0" xfId="3" applyAlignment="1">
      <alignment wrapText="1"/>
    </xf>
    <xf numFmtId="0" fontId="3" fillId="5" borderId="5" xfId="3" applyBorder="1"/>
    <xf numFmtId="0" fontId="3" fillId="5" borderId="1" xfId="3" applyBorder="1"/>
    <xf numFmtId="0" fontId="3" fillId="5" borderId="6" xfId="3" applyBorder="1"/>
    <xf numFmtId="0" fontId="3" fillId="5" borderId="5" xfId="3" applyBorder="1" applyAlignment="1">
      <alignment wrapText="1"/>
    </xf>
    <xf numFmtId="0" fontId="3" fillId="5" borderId="8" xfId="3" applyBorder="1" applyAlignment="1">
      <alignment wrapText="1"/>
    </xf>
    <xf numFmtId="0" fontId="3" fillId="5" borderId="9" xfId="3" applyBorder="1"/>
    <xf numFmtId="0" fontId="3" fillId="5" borderId="10" xfId="3" applyBorder="1"/>
    <xf numFmtId="0" fontId="7" fillId="0" borderId="19" xfId="0" applyFont="1" applyBorder="1" applyAlignment="1">
      <alignment wrapText="1"/>
    </xf>
    <xf numFmtId="0" fontId="13" fillId="0" borderId="19" xfId="0" applyFont="1" applyBorder="1" applyAlignment="1">
      <alignment horizontal="left" wrapText="1"/>
    </xf>
    <xf numFmtId="0" fontId="12" fillId="0" borderId="0" xfId="0" applyFont="1" applyAlignment="1">
      <alignment horizontal="left"/>
    </xf>
    <xf numFmtId="0" fontId="12" fillId="5" borderId="3" xfId="3" applyFont="1" applyBorder="1" applyAlignment="1">
      <alignment horizontal="left" wrapText="1"/>
    </xf>
    <xf numFmtId="2" fontId="3" fillId="5" borderId="1" xfId="3" applyNumberFormat="1" applyBorder="1" applyAlignment="1">
      <alignment horizontal="left"/>
    </xf>
    <xf numFmtId="0" fontId="3" fillId="5" borderId="6" xfId="3" applyBorder="1" applyAlignment="1">
      <alignment horizontal="left"/>
    </xf>
    <xf numFmtId="0" fontId="3" fillId="5" borderId="6" xfId="3" applyBorder="1" applyAlignment="1">
      <alignment horizontal="left" wrapText="1"/>
    </xf>
    <xf numFmtId="1" fontId="3" fillId="5" borderId="6" xfId="3" applyNumberFormat="1" applyBorder="1" applyAlignment="1">
      <alignment horizontal="left"/>
    </xf>
    <xf numFmtId="0" fontId="12" fillId="5" borderId="4" xfId="3" applyFont="1" applyBorder="1" applyAlignment="1">
      <alignment horizontal="left" wrapText="1"/>
    </xf>
    <xf numFmtId="0" fontId="4" fillId="7" borderId="1" xfId="1" applyFill="1" applyBorder="1"/>
    <xf numFmtId="0" fontId="3" fillId="5" borderId="1" xfId="3" applyBorder="1" applyAlignment="1">
      <alignment horizontal="left"/>
    </xf>
    <xf numFmtId="0" fontId="3" fillId="5" borderId="1" xfId="3" applyBorder="1" applyAlignment="1"/>
    <xf numFmtId="0" fontId="3" fillId="5" borderId="6" xfId="3" applyBorder="1" applyAlignment="1"/>
    <xf numFmtId="0" fontId="2" fillId="5" borderId="31" xfId="3" applyFont="1" applyBorder="1" applyAlignment="1">
      <alignment wrapText="1"/>
    </xf>
    <xf numFmtId="0" fontId="3" fillId="5" borderId="31" xfId="3" applyBorder="1" applyAlignment="1"/>
    <xf numFmtId="0" fontId="3" fillId="5" borderId="24" xfId="3" applyBorder="1" applyAlignment="1"/>
    <xf numFmtId="0" fontId="0" fillId="0" borderId="10" xfId="0" applyBorder="1"/>
    <xf numFmtId="1" fontId="5" fillId="3" borderId="1" xfId="2" applyNumberFormat="1" applyBorder="1"/>
    <xf numFmtId="0" fontId="12" fillId="5" borderId="1" xfId="3" applyFont="1" applyBorder="1" applyAlignment="1">
      <alignment horizontal="left" wrapText="1"/>
    </xf>
    <xf numFmtId="0" fontId="3" fillId="5" borderId="16" xfId="3" applyBorder="1"/>
    <xf numFmtId="0" fontId="3" fillId="5" borderId="17" xfId="3" applyBorder="1"/>
    <xf numFmtId="0" fontId="3" fillId="5" borderId="18" xfId="3" applyBorder="1"/>
    <xf numFmtId="0" fontId="3" fillId="5" borderId="0" xfId="3" applyAlignment="1"/>
    <xf numFmtId="1" fontId="4" fillId="2" borderId="4" xfId="1" applyNumberFormat="1" applyBorder="1"/>
    <xf numFmtId="1" fontId="4" fillId="2" borderId="10" xfId="1" applyNumberFormat="1" applyBorder="1"/>
    <xf numFmtId="0" fontId="7" fillId="0" borderId="8" xfId="0" applyFont="1" applyBorder="1" applyAlignment="1">
      <alignment wrapText="1"/>
    </xf>
    <xf numFmtId="0" fontId="7" fillId="0" borderId="9" xfId="0" applyFont="1" applyBorder="1"/>
    <xf numFmtId="1" fontId="4" fillId="2" borderId="32" xfId="1" applyNumberFormat="1" applyBorder="1"/>
    <xf numFmtId="1" fontId="7" fillId="0" borderId="10" xfId="0" applyNumberFormat="1" applyFont="1" applyBorder="1"/>
    <xf numFmtId="2" fontId="3" fillId="5" borderId="9" xfId="3" applyNumberFormat="1" applyBorder="1" applyAlignment="1">
      <alignment horizontal="left"/>
    </xf>
    <xf numFmtId="1" fontId="3" fillId="5" borderId="10" xfId="3" applyNumberFormat="1" applyBorder="1" applyAlignment="1">
      <alignment horizontal="left"/>
    </xf>
    <xf numFmtId="1" fontId="0" fillId="0" borderId="33" xfId="0" applyNumberFormat="1" applyBorder="1"/>
    <xf numFmtId="0" fontId="15" fillId="5" borderId="1" xfId="3" applyFont="1" applyBorder="1" applyAlignment="1">
      <alignment horizontal="left" wrapText="1"/>
    </xf>
    <xf numFmtId="1" fontId="4" fillId="2" borderId="33" xfId="1" applyNumberFormat="1" applyBorder="1"/>
    <xf numFmtId="1" fontId="7" fillId="0" borderId="33" xfId="0" applyNumberFormat="1" applyFont="1" applyBorder="1"/>
    <xf numFmtId="0" fontId="4" fillId="2" borderId="1" xfId="1" applyBorder="1"/>
    <xf numFmtId="1" fontId="4" fillId="6" borderId="33" xfId="1" applyNumberFormat="1" applyFill="1" applyBorder="1"/>
    <xf numFmtId="0" fontId="1" fillId="0" borderId="11" xfId="0" applyFont="1" applyBorder="1" applyAlignment="1">
      <alignment wrapText="1"/>
    </xf>
    <xf numFmtId="0" fontId="13" fillId="3" borderId="19" xfId="2" applyFont="1" applyBorder="1"/>
    <xf numFmtId="0" fontId="17" fillId="0" borderId="19" xfId="0" applyFont="1" applyBorder="1" applyAlignment="1">
      <alignment horizontal="left" wrapText="1"/>
    </xf>
    <xf numFmtId="1" fontId="13" fillId="9" borderId="19" xfId="1" applyNumberFormat="1" applyFont="1" applyFill="1" applyBorder="1"/>
    <xf numFmtId="0" fontId="1" fillId="0" borderId="19" xfId="0" applyFont="1" applyBorder="1" applyAlignment="1">
      <alignment horizontal="left" wrapText="1"/>
    </xf>
    <xf numFmtId="1" fontId="13" fillId="3" borderId="12" xfId="2" applyNumberFormat="1" applyFont="1" applyBorder="1" applyAlignment="1">
      <alignment horizontal="right"/>
    </xf>
    <xf numFmtId="0" fontId="1" fillId="0" borderId="7" xfId="0" applyFont="1" applyBorder="1"/>
    <xf numFmtId="0" fontId="1" fillId="0" borderId="0" xfId="0" applyFont="1"/>
    <xf numFmtId="0" fontId="1" fillId="0" borderId="23" xfId="0" applyFont="1" applyBorder="1"/>
    <xf numFmtId="0" fontId="1" fillId="0" borderId="7" xfId="0" applyFont="1" applyBorder="1" applyAlignment="1">
      <alignment horizontal="left" wrapText="1"/>
    </xf>
    <xf numFmtId="1" fontId="13" fillId="9" borderId="0" xfId="1" applyNumberFormat="1" applyFont="1" applyFill="1" applyBorder="1"/>
    <xf numFmtId="0" fontId="1" fillId="0" borderId="0" xfId="0" applyFont="1" applyAlignment="1">
      <alignment wrapText="1"/>
    </xf>
    <xf numFmtId="1" fontId="13" fillId="3" borderId="0" xfId="2" applyNumberFormat="1" applyFont="1" applyBorder="1" applyAlignment="1">
      <alignment horizontal="right" wrapText="1"/>
    </xf>
    <xf numFmtId="0" fontId="13" fillId="3" borderId="0" xfId="2" applyFont="1" applyBorder="1" applyAlignment="1">
      <alignment horizontal="right"/>
    </xf>
    <xf numFmtId="0" fontId="13" fillId="3" borderId="0" xfId="2" applyFont="1" applyBorder="1"/>
    <xf numFmtId="0" fontId="13" fillId="3" borderId="23" xfId="0" applyFont="1" applyFill="1" applyBorder="1"/>
    <xf numFmtId="0" fontId="1" fillId="0" borderId="13" xfId="0" applyFont="1" applyBorder="1" applyAlignment="1">
      <alignment wrapText="1"/>
    </xf>
    <xf numFmtId="0" fontId="13" fillId="3" borderId="14" xfId="2" applyFont="1" applyBorder="1"/>
    <xf numFmtId="0" fontId="1" fillId="0" borderId="14" xfId="0" applyFont="1" applyBorder="1"/>
    <xf numFmtId="0" fontId="0" fillId="0" borderId="29" xfId="0" applyBorder="1" applyAlignment="1">
      <alignment wrapText="1"/>
    </xf>
    <xf numFmtId="1" fontId="5" fillId="3" borderId="21" xfId="2" applyNumberFormat="1" applyBorder="1"/>
    <xf numFmtId="0" fontId="12" fillId="0" borderId="34" xfId="0" applyFont="1" applyBorder="1" applyAlignment="1">
      <alignment wrapText="1"/>
    </xf>
    <xf numFmtId="0" fontId="5" fillId="3" borderId="28" xfId="2" applyBorder="1"/>
    <xf numFmtId="1" fontId="1" fillId="11" borderId="10" xfId="4" applyNumberFormat="1" applyFill="1" applyBorder="1" applyAlignment="1">
      <alignment horizontal="right" wrapText="1"/>
    </xf>
    <xf numFmtId="0" fontId="13" fillId="0" borderId="14" xfId="0" applyFont="1" applyBorder="1" applyAlignment="1">
      <alignment horizontal="left" wrapText="1"/>
    </xf>
    <xf numFmtId="0" fontId="13" fillId="3" borderId="15" xfId="0" applyFont="1" applyFill="1" applyBorder="1"/>
    <xf numFmtId="0" fontId="12" fillId="0" borderId="0" xfId="0" applyFont="1" applyAlignment="1">
      <alignment horizontal="left"/>
    </xf>
    <xf numFmtId="0" fontId="8" fillId="0" borderId="26" xfId="0" applyFont="1" applyBorder="1" applyAlignment="1">
      <alignment horizontal="center" wrapText="1"/>
    </xf>
    <xf numFmtId="0" fontId="8" fillId="0" borderId="27" xfId="0" applyFont="1" applyBorder="1" applyAlignment="1">
      <alignment horizontal="center" wrapText="1"/>
    </xf>
    <xf numFmtId="0" fontId="1" fillId="5" borderId="0" xfId="3" applyFont="1" applyBorder="1" applyAlignment="1">
      <alignment horizontal="left" vertical="top" wrapText="1"/>
    </xf>
    <xf numFmtId="0" fontId="3" fillId="5" borderId="0" xfId="3" applyBorder="1" applyAlignment="1">
      <alignment horizontal="left" vertical="top" wrapText="1"/>
    </xf>
    <xf numFmtId="0" fontId="3" fillId="5" borderId="5" xfId="3" applyBorder="1" applyAlignment="1">
      <alignment horizontal="left" wrapText="1"/>
    </xf>
    <xf numFmtId="0" fontId="3" fillId="5" borderId="1" xfId="3" applyBorder="1" applyAlignment="1">
      <alignment horizontal="left" wrapText="1"/>
    </xf>
    <xf numFmtId="0" fontId="3" fillId="5" borderId="13" xfId="3" applyBorder="1" applyAlignment="1">
      <alignment horizontal="left" vertical="top" wrapText="1"/>
    </xf>
    <xf numFmtId="0" fontId="3" fillId="5" borderId="14" xfId="3" applyBorder="1" applyAlignment="1">
      <alignment horizontal="left" vertical="top" wrapText="1"/>
    </xf>
    <xf numFmtId="0" fontId="3" fillId="5" borderId="15" xfId="3" applyBorder="1" applyAlignment="1">
      <alignment horizontal="left" vertical="top" wrapText="1"/>
    </xf>
    <xf numFmtId="0" fontId="12" fillId="5" borderId="2" xfId="3" applyFont="1" applyBorder="1" applyAlignment="1">
      <alignment horizontal="left" wrapText="1"/>
    </xf>
    <xf numFmtId="0" fontId="12" fillId="5" borderId="3" xfId="3" applyFont="1" applyBorder="1" applyAlignment="1">
      <alignment horizontal="left" wrapText="1"/>
    </xf>
    <xf numFmtId="0" fontId="12" fillId="5" borderId="4" xfId="3" applyFont="1" applyBorder="1" applyAlignment="1">
      <alignment horizontal="left" wrapText="1"/>
    </xf>
    <xf numFmtId="0" fontId="16" fillId="3" borderId="0" xfId="2" applyFont="1" applyAlignment="1">
      <alignment horizontal="left" vertical="center" wrapText="1"/>
    </xf>
    <xf numFmtId="0" fontId="1" fillId="11" borderId="0" xfId="4" applyFill="1" applyBorder="1" applyAlignment="1">
      <alignment horizontal="left" wrapText="1"/>
    </xf>
    <xf numFmtId="0" fontId="1" fillId="11" borderId="0" xfId="4" applyFill="1" applyAlignment="1">
      <alignment horizontal="left" wrapText="1"/>
    </xf>
    <xf numFmtId="1" fontId="16" fillId="2" borderId="0" xfId="1" applyNumberFormat="1" applyFont="1" applyBorder="1" applyAlignment="1">
      <alignment horizontal="left" vertical="center" wrapText="1"/>
    </xf>
    <xf numFmtId="0" fontId="16" fillId="10" borderId="0" xfId="2" applyFont="1" applyFill="1" applyBorder="1" applyAlignment="1">
      <alignment horizontal="left" vertical="center" wrapText="1"/>
    </xf>
    <xf numFmtId="0" fontId="14" fillId="3" borderId="11" xfId="2" applyFont="1" applyBorder="1" applyAlignment="1">
      <alignment horizontal="center" wrapText="1"/>
    </xf>
    <xf numFmtId="0" fontId="14" fillId="3" borderId="19" xfId="2" applyFont="1" applyBorder="1" applyAlignment="1">
      <alignment horizontal="center"/>
    </xf>
    <xf numFmtId="0" fontId="14" fillId="3" borderId="12" xfId="2" applyFont="1" applyBorder="1" applyAlignment="1">
      <alignment horizontal="center"/>
    </xf>
    <xf numFmtId="0" fontId="14" fillId="3" borderId="13" xfId="2" applyFont="1" applyBorder="1" applyAlignment="1">
      <alignment horizontal="center"/>
    </xf>
    <xf numFmtId="0" fontId="14" fillId="3" borderId="14" xfId="2" applyFont="1" applyBorder="1" applyAlignment="1">
      <alignment horizontal="center"/>
    </xf>
    <xf numFmtId="0" fontId="14" fillId="3" borderId="15" xfId="2" applyFont="1" applyBorder="1" applyAlignment="1">
      <alignment horizontal="center"/>
    </xf>
    <xf numFmtId="0" fontId="3" fillId="5" borderId="0" xfId="3" applyAlignment="1">
      <alignment horizontal="left"/>
    </xf>
    <xf numFmtId="0" fontId="12" fillId="5" borderId="0" xfId="3" applyFont="1" applyAlignment="1">
      <alignment horizontal="center"/>
    </xf>
    <xf numFmtId="0" fontId="2" fillId="5" borderId="0" xfId="3" applyFont="1" applyAlignment="1">
      <alignment horizontal="left" wrapText="1"/>
    </xf>
    <xf numFmtId="0" fontId="2" fillId="5" borderId="11" xfId="3" applyFont="1" applyBorder="1" applyAlignment="1">
      <alignment horizontal="left" vertical="top" wrapText="1"/>
    </xf>
    <xf numFmtId="0" fontId="2" fillId="5" borderId="19" xfId="3" applyFont="1" applyBorder="1" applyAlignment="1">
      <alignment horizontal="left" vertical="top" wrapText="1"/>
    </xf>
    <xf numFmtId="0" fontId="2" fillId="5" borderId="12" xfId="3" applyFont="1" applyBorder="1" applyAlignment="1">
      <alignment horizontal="left" vertical="top" wrapText="1"/>
    </xf>
    <xf numFmtId="0" fontId="2" fillId="5" borderId="30" xfId="3" applyFont="1" applyBorder="1" applyAlignment="1">
      <alignment horizontal="left" wrapText="1"/>
    </xf>
    <xf numFmtId="0" fontId="2" fillId="5" borderId="31" xfId="3" applyFont="1" applyBorder="1" applyAlignment="1">
      <alignment horizontal="left" wrapText="1"/>
    </xf>
    <xf numFmtId="0" fontId="3" fillId="5" borderId="0" xfId="3" applyBorder="1" applyAlignment="1">
      <alignment horizontal="center" wrapText="1"/>
    </xf>
    <xf numFmtId="0" fontId="3" fillId="5" borderId="23" xfId="3" applyBorder="1" applyAlignment="1">
      <alignment horizontal="center" wrapText="1"/>
    </xf>
    <xf numFmtId="0" fontId="3" fillId="5" borderId="0" xfId="3" applyBorder="1" applyAlignment="1">
      <alignment horizontal="left" wrapText="1"/>
    </xf>
    <xf numFmtId="0" fontId="3" fillId="5" borderId="23" xfId="3" applyBorder="1" applyAlignment="1">
      <alignment horizontal="left" wrapText="1"/>
    </xf>
    <xf numFmtId="0" fontId="12" fillId="5" borderId="0" xfId="3" applyFont="1" applyBorder="1" applyAlignment="1">
      <alignment horizontal="left"/>
    </xf>
    <xf numFmtId="0" fontId="12" fillId="5" borderId="23" xfId="3" applyFont="1" applyBorder="1" applyAlignment="1">
      <alignment horizontal="left"/>
    </xf>
    <xf numFmtId="0" fontId="1" fillId="5" borderId="5" xfId="3" applyFont="1" applyBorder="1" applyAlignment="1">
      <alignment horizontal="left" wrapText="1"/>
    </xf>
    <xf numFmtId="0" fontId="2" fillId="5" borderId="5" xfId="3" applyFont="1" applyBorder="1" applyAlignment="1">
      <alignment horizontal="left" wrapText="1"/>
    </xf>
    <xf numFmtId="0" fontId="2" fillId="5" borderId="29" xfId="3" applyFont="1" applyBorder="1" applyAlignment="1">
      <alignment horizontal="left" wrapText="1"/>
    </xf>
    <xf numFmtId="0" fontId="2" fillId="5" borderId="25" xfId="3" applyFont="1" applyBorder="1" applyAlignment="1">
      <alignment horizontal="left" wrapText="1"/>
    </xf>
    <xf numFmtId="0" fontId="2" fillId="5" borderId="21" xfId="3" applyFont="1" applyBorder="1" applyAlignment="1">
      <alignment horizontal="left" wrapText="1"/>
    </xf>
    <xf numFmtId="0" fontId="16" fillId="8" borderId="0" xfId="4" applyFont="1" applyBorder="1" applyAlignment="1">
      <alignment horizontal="left" vertical="center" wrapText="1"/>
    </xf>
    <xf numFmtId="0" fontId="2" fillId="5" borderId="8" xfId="3" applyFont="1" applyBorder="1" applyAlignment="1">
      <alignment horizontal="left" wrapText="1"/>
    </xf>
    <xf numFmtId="0" fontId="3" fillId="5" borderId="9" xfId="3" applyBorder="1" applyAlignment="1">
      <alignment horizontal="left" wrapText="1"/>
    </xf>
  </cellXfs>
  <cellStyles count="5">
    <cellStyle name="20% — акцент2" xfId="4" builtinId="34"/>
    <cellStyle name="20% — акцент5" xfId="3" builtinId="46"/>
    <cellStyle name="Нейтральный" xfId="1" builtinId="28"/>
    <cellStyle name="Обычный" xfId="0" builtinId="0"/>
    <cellStyle name="Хороший" xfId="2" builtinId="26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A3F3F9"/>
      <color rgb="FFF4B6B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13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tc={50E778BB-5AA0-86AC-C87E-35580F875033}" id="{7925F4E6-D03A-A7B8-2004-FBD7A57226C6}"/>
  <person displayName="tc={01F9FFB9-1722-D8A5-B513-68957C289289}" id="{4395408D-706C-73F1-5B58-E8A0FE96C259}"/>
  <person displayName="tc={96C1BB7A-B8A1-6BAE-52FC-D9A58B44952B}" id="{A3FEB9F8-8C06-D5DC-B045-682B89CCFE48}"/>
  <person displayName="tc={6D6DC9E7-BF65-6800-52C4-E690172E6622}" id="{13E2295C-293E-5CB7-34D8-A882E7BF167B}"/>
</personList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69AD2D-A15C-0A4F-86B9-37E3FE252D26}">
  <sheetPr codeName="Лист2"/>
  <dimension ref="A1:L71"/>
  <sheetViews>
    <sheetView zoomScale="85" zoomScaleNormal="85" workbookViewId="0">
      <selection sqref="A1:E1"/>
    </sheetView>
  </sheetViews>
  <sheetFormatPr defaultColWidth="11" defaultRowHeight="15.6"/>
  <cols>
    <col min="1" max="1" width="17" customWidth="1"/>
    <col min="2" max="2" width="14.19921875" customWidth="1"/>
    <col min="3" max="3" width="17.296875" customWidth="1"/>
    <col min="4" max="4" width="14.19921875" customWidth="1"/>
    <col min="5" max="5" width="15.296875" customWidth="1"/>
    <col min="6" max="6" width="13.19921875" customWidth="1"/>
    <col min="7" max="7" width="19.19921875" customWidth="1"/>
    <col min="8" max="8" width="21" customWidth="1"/>
    <col min="9" max="9" width="21.69921875" customWidth="1"/>
    <col min="10" max="10" width="20.5" customWidth="1"/>
    <col min="11" max="11" width="27.5" customWidth="1"/>
    <col min="12" max="12" width="25.296875" customWidth="1"/>
    <col min="13" max="13" width="23.19921875" customWidth="1"/>
    <col min="14" max="14" width="14.69921875" customWidth="1"/>
    <col min="15" max="15" width="18" customWidth="1"/>
    <col min="16" max="16" width="21.69921875" customWidth="1"/>
    <col min="17" max="17" width="31" customWidth="1"/>
    <col min="18" max="18" width="11" customWidth="1"/>
    <col min="21" max="21" width="53.19921875" customWidth="1"/>
  </cols>
  <sheetData>
    <row r="1" spans="1:11">
      <c r="A1" s="117" t="s">
        <v>102</v>
      </c>
      <c r="B1" s="117"/>
      <c r="C1" s="117"/>
      <c r="D1" s="117"/>
      <c r="E1" s="117"/>
    </row>
    <row r="2" spans="1:11">
      <c r="A2" s="56"/>
      <c r="B2" s="56"/>
      <c r="C2" s="56"/>
      <c r="D2" s="56"/>
      <c r="E2" s="56"/>
    </row>
    <row r="3" spans="1:11" ht="18">
      <c r="A3" s="130" t="s">
        <v>94</v>
      </c>
      <c r="B3" s="130"/>
      <c r="C3" s="130"/>
      <c r="D3" s="130"/>
      <c r="E3" s="130"/>
      <c r="F3" s="130"/>
      <c r="G3" s="130"/>
      <c r="H3" s="130"/>
      <c r="I3" s="130"/>
      <c r="J3" s="130"/>
    </row>
    <row r="4" spans="1:11" ht="34.200000000000003" customHeight="1">
      <c r="A4" s="134" t="s">
        <v>93</v>
      </c>
      <c r="B4" s="134"/>
      <c r="C4" s="134"/>
      <c r="D4" s="134"/>
      <c r="E4" s="134"/>
      <c r="F4" s="134"/>
      <c r="G4" s="134"/>
      <c r="H4" s="134"/>
      <c r="I4" s="134"/>
      <c r="J4" s="134"/>
    </row>
    <row r="5" spans="1:11" ht="18">
      <c r="A5" s="133" t="s">
        <v>95</v>
      </c>
      <c r="B5" s="133"/>
      <c r="C5" s="133"/>
      <c r="D5" s="133"/>
      <c r="E5" s="133"/>
      <c r="F5" s="133"/>
      <c r="G5" s="133"/>
      <c r="H5" s="133"/>
      <c r="I5" s="133"/>
      <c r="J5" s="133"/>
    </row>
    <row r="7" spans="1:11" ht="16.2" thickBot="1">
      <c r="I7" s="1"/>
      <c r="J7" s="1"/>
      <c r="K7" s="2"/>
    </row>
    <row r="8" spans="1:11" ht="171.6">
      <c r="A8" s="91" t="s">
        <v>4</v>
      </c>
      <c r="B8" s="92">
        <v>0</v>
      </c>
      <c r="C8" s="93" t="s">
        <v>0</v>
      </c>
      <c r="D8" s="94">
        <f>B8*0.3</f>
        <v>0</v>
      </c>
      <c r="E8" s="54" t="s">
        <v>1</v>
      </c>
      <c r="F8" s="94">
        <v>0</v>
      </c>
      <c r="G8" s="95" t="s">
        <v>96</v>
      </c>
      <c r="H8" s="94">
        <f>J21*6</f>
        <v>6</v>
      </c>
      <c r="I8" s="55" t="s">
        <v>98</v>
      </c>
      <c r="J8" s="96">
        <v>0</v>
      </c>
    </row>
    <row r="9" spans="1:11">
      <c r="A9" s="97"/>
      <c r="B9" s="98"/>
      <c r="C9" s="98"/>
      <c r="D9" s="98"/>
      <c r="E9" s="98"/>
      <c r="F9" s="98"/>
      <c r="G9" s="98"/>
      <c r="H9" s="98"/>
      <c r="I9" s="98"/>
      <c r="J9" s="99"/>
    </row>
    <row r="10" spans="1:11" ht="93.6">
      <c r="A10" s="100" t="s">
        <v>2</v>
      </c>
      <c r="B10" s="101">
        <f>B8*0.02</f>
        <v>0</v>
      </c>
      <c r="C10" s="102" t="s">
        <v>3</v>
      </c>
      <c r="D10" s="103">
        <v>2</v>
      </c>
      <c r="E10" s="27" t="s">
        <v>54</v>
      </c>
      <c r="F10" s="104">
        <v>30</v>
      </c>
      <c r="G10" s="27" t="s">
        <v>55</v>
      </c>
      <c r="H10" s="105">
        <v>365</v>
      </c>
      <c r="I10" s="27" t="s">
        <v>56</v>
      </c>
      <c r="J10" s="106">
        <v>365</v>
      </c>
      <c r="K10" s="2"/>
    </row>
    <row r="11" spans="1:11">
      <c r="A11" s="97"/>
      <c r="B11" s="98"/>
      <c r="C11" s="98"/>
      <c r="D11" s="98"/>
      <c r="E11" s="98"/>
      <c r="F11" s="98"/>
      <c r="G11" s="98"/>
      <c r="H11" s="98"/>
      <c r="I11" s="98"/>
      <c r="J11" s="99"/>
    </row>
    <row r="12" spans="1:11" ht="63" thickBot="1">
      <c r="A12" s="107" t="s">
        <v>84</v>
      </c>
      <c r="B12" s="108">
        <v>7</v>
      </c>
      <c r="C12" s="109"/>
      <c r="D12" s="109"/>
      <c r="E12" s="109"/>
      <c r="F12" s="109"/>
      <c r="G12" s="109"/>
      <c r="H12" s="109"/>
      <c r="I12" s="115" t="s">
        <v>97</v>
      </c>
      <c r="J12" s="116">
        <v>0</v>
      </c>
    </row>
    <row r="13" spans="1:11" ht="16.2" thickBot="1"/>
    <row r="14" spans="1:11" ht="16.05" customHeight="1">
      <c r="A14" s="118" t="s">
        <v>63</v>
      </c>
      <c r="B14" s="119"/>
      <c r="C14" s="119"/>
      <c r="D14" s="119"/>
      <c r="E14" s="119"/>
      <c r="F14" s="119"/>
      <c r="G14" s="119"/>
      <c r="H14" s="119"/>
      <c r="I14" s="119"/>
      <c r="J14" s="34"/>
      <c r="K14" s="2"/>
    </row>
    <row r="15" spans="1:11" ht="204" customHeight="1">
      <c r="A15" s="18" t="s">
        <v>5</v>
      </c>
      <c r="B15" s="5" t="s">
        <v>6</v>
      </c>
      <c r="C15" s="5" t="s">
        <v>7</v>
      </c>
      <c r="D15" s="5" t="s">
        <v>8</v>
      </c>
      <c r="E15" s="5" t="s">
        <v>51</v>
      </c>
      <c r="F15" s="5" t="s">
        <v>9</v>
      </c>
      <c r="G15" s="5" t="s">
        <v>50</v>
      </c>
      <c r="H15" s="5" t="s">
        <v>52</v>
      </c>
      <c r="I15" s="5" t="s">
        <v>10</v>
      </c>
      <c r="J15" s="35" t="s">
        <v>53</v>
      </c>
      <c r="K15" s="120" t="s">
        <v>47</v>
      </c>
    </row>
    <row r="16" spans="1:11">
      <c r="A16" s="36" t="s">
        <v>11</v>
      </c>
      <c r="B16" s="7">
        <v>40</v>
      </c>
      <c r="C16" s="8">
        <f>$D$8*B16/100</f>
        <v>0</v>
      </c>
      <c r="D16" s="9">
        <v>2</v>
      </c>
      <c r="E16" s="9">
        <v>2</v>
      </c>
      <c r="F16" s="8">
        <f t="shared" ref="F16:F18" si="0">ROUNDUP(C16/D16*E16,0)</f>
        <v>0</v>
      </c>
      <c r="G16" s="9">
        <v>10</v>
      </c>
      <c r="H16" s="9">
        <v>60</v>
      </c>
      <c r="I16" s="8">
        <f t="shared" ref="I16:I18" si="1">ROUNDUP(C16/D16,0)</f>
        <v>0</v>
      </c>
      <c r="J16" s="37">
        <v>1</v>
      </c>
      <c r="K16" s="121"/>
    </row>
    <row r="17" spans="1:11">
      <c r="A17" s="36" t="s">
        <v>12</v>
      </c>
      <c r="B17" s="7">
        <v>32</v>
      </c>
      <c r="C17" s="8">
        <f>$D$8*B17/100</f>
        <v>0</v>
      </c>
      <c r="D17" s="9">
        <v>4</v>
      </c>
      <c r="E17" s="9">
        <v>3</v>
      </c>
      <c r="F17" s="8">
        <f t="shared" si="0"/>
        <v>0</v>
      </c>
      <c r="G17" s="9">
        <v>10</v>
      </c>
      <c r="H17" s="9">
        <v>60</v>
      </c>
      <c r="I17" s="8">
        <f t="shared" si="1"/>
        <v>0</v>
      </c>
      <c r="J17" s="37">
        <v>2</v>
      </c>
      <c r="K17" s="121"/>
    </row>
    <row r="18" spans="1:11">
      <c r="A18" s="36" t="s">
        <v>13</v>
      </c>
      <c r="B18" s="7">
        <v>16</v>
      </c>
      <c r="C18" s="8">
        <f>$D$8*B18/100</f>
        <v>0</v>
      </c>
      <c r="D18" s="9">
        <v>8</v>
      </c>
      <c r="E18" s="9">
        <v>4</v>
      </c>
      <c r="F18" s="8">
        <f t="shared" si="0"/>
        <v>0</v>
      </c>
      <c r="G18" s="9">
        <v>10</v>
      </c>
      <c r="H18" s="9">
        <v>60</v>
      </c>
      <c r="I18" s="8">
        <f t="shared" si="1"/>
        <v>0</v>
      </c>
      <c r="J18" s="37">
        <v>3</v>
      </c>
      <c r="K18" s="121"/>
    </row>
    <row r="19" spans="1:11">
      <c r="A19" s="36" t="s">
        <v>14</v>
      </c>
      <c r="B19" s="7">
        <v>10</v>
      </c>
      <c r="C19" s="8">
        <f>$D$8*B19/100</f>
        <v>0</v>
      </c>
      <c r="D19" s="9">
        <v>20</v>
      </c>
      <c r="E19" s="9">
        <v>4</v>
      </c>
      <c r="F19" s="8">
        <f>ROUNDUP(C19/D19*E19,0)</f>
        <v>0</v>
      </c>
      <c r="G19" s="9">
        <v>10</v>
      </c>
      <c r="H19" s="9">
        <v>60</v>
      </c>
      <c r="I19" s="8">
        <f>ROUNDUP(C19/D19,0)</f>
        <v>0</v>
      </c>
      <c r="J19" s="37">
        <v>5</v>
      </c>
      <c r="K19" s="121"/>
    </row>
    <row r="20" spans="1:11">
      <c r="A20" s="36" t="s">
        <v>15</v>
      </c>
      <c r="B20" s="7">
        <v>2</v>
      </c>
      <c r="C20" s="8">
        <f>$D$8*B20/100</f>
        <v>0</v>
      </c>
      <c r="D20" s="9">
        <v>50</v>
      </c>
      <c r="E20" s="9">
        <v>3</v>
      </c>
      <c r="F20" s="8">
        <f>ROUNDUP(C20/D20*E20,0)</f>
        <v>0</v>
      </c>
      <c r="G20" s="9">
        <v>10</v>
      </c>
      <c r="H20" s="9">
        <v>70</v>
      </c>
      <c r="I20" s="8">
        <f>ROUNDUP(C20/D20,0)</f>
        <v>0</v>
      </c>
      <c r="J20" s="37">
        <v>7</v>
      </c>
      <c r="K20" s="121"/>
    </row>
    <row r="21" spans="1:11" ht="16.2" thickBot="1">
      <c r="A21" s="38" t="s">
        <v>16</v>
      </c>
      <c r="B21" s="39">
        <f>SUM(B16:B20)</f>
        <v>100</v>
      </c>
      <c r="C21" s="39">
        <f>SUM(C16:C20)</f>
        <v>0</v>
      </c>
      <c r="D21" s="40"/>
      <c r="E21" s="40"/>
      <c r="F21" s="39">
        <f>SUM(F16:F20)</f>
        <v>0</v>
      </c>
      <c r="G21" s="39">
        <f>ROUNDUP(C16*G16/100+C17*G17/100+C18*G18/100+C19*G19/100+C20*G20/100,0)</f>
        <v>0</v>
      </c>
      <c r="H21" s="39">
        <f>ROUNDUP(C16*H16/100+C17*H17/100+C18*H18/100+C19*H19/100,0)</f>
        <v>0</v>
      </c>
      <c r="I21" s="39">
        <f>SUM(I16:I20)</f>
        <v>0</v>
      </c>
      <c r="J21" s="114">
        <v>1</v>
      </c>
      <c r="K21" s="121"/>
    </row>
    <row r="22" spans="1:11" ht="16.05" customHeight="1">
      <c r="A22" s="3"/>
      <c r="F22" s="131" t="s">
        <v>49</v>
      </c>
      <c r="G22" s="131"/>
      <c r="H22" s="131"/>
      <c r="I22" s="131"/>
      <c r="J22" s="131"/>
    </row>
    <row r="23" spans="1:11">
      <c r="F23" s="132"/>
      <c r="G23" s="132"/>
      <c r="H23" s="132"/>
      <c r="I23" s="132"/>
      <c r="J23" s="132"/>
    </row>
    <row r="24" spans="1:11" ht="34.049999999999997" customHeight="1">
      <c r="F24" s="132"/>
      <c r="G24" s="132"/>
      <c r="H24" s="132"/>
      <c r="I24" s="132"/>
      <c r="J24" s="132"/>
    </row>
    <row r="25" spans="1:11" ht="19.05" customHeight="1"/>
    <row r="26" spans="1:11">
      <c r="A26" s="142" t="s">
        <v>68</v>
      </c>
      <c r="B26" s="142"/>
      <c r="C26" s="142"/>
      <c r="D26" s="142"/>
      <c r="E26" s="142"/>
    </row>
    <row r="27" spans="1:11">
      <c r="A27" s="4" t="s">
        <v>101</v>
      </c>
      <c r="B27" s="76"/>
      <c r="C27" s="76"/>
      <c r="D27" s="76"/>
      <c r="E27" s="76"/>
    </row>
    <row r="28" spans="1:11">
      <c r="A28" s="141" t="s">
        <v>64</v>
      </c>
      <c r="B28" s="141"/>
      <c r="C28" s="141"/>
      <c r="D28" s="141"/>
      <c r="E28" s="141"/>
    </row>
    <row r="29" spans="1:11" ht="16.05" customHeight="1">
      <c r="A29" s="143" t="s">
        <v>80</v>
      </c>
      <c r="B29" s="143"/>
      <c r="C29" s="143"/>
      <c r="D29" s="143"/>
      <c r="E29" s="143"/>
    </row>
    <row r="30" spans="1:11">
      <c r="A30" s="143"/>
      <c r="B30" s="143"/>
      <c r="C30" s="143"/>
      <c r="D30" s="143"/>
      <c r="E30" s="143"/>
    </row>
    <row r="31" spans="1:11">
      <c r="A31" s="143"/>
      <c r="B31" s="143"/>
      <c r="C31" s="143"/>
      <c r="D31" s="143"/>
      <c r="E31" s="143"/>
    </row>
    <row r="32" spans="1:11">
      <c r="A32" s="143"/>
      <c r="B32" s="143"/>
      <c r="C32" s="143"/>
      <c r="D32" s="143"/>
      <c r="E32" s="143"/>
    </row>
    <row r="33" spans="1:12" ht="16.2" thickBot="1">
      <c r="A33" s="45"/>
      <c r="B33" s="45"/>
      <c r="C33" s="45"/>
      <c r="D33" s="45"/>
      <c r="E33" s="45"/>
    </row>
    <row r="34" spans="1:12" ht="66" customHeight="1">
      <c r="A34" s="32" t="s">
        <v>67</v>
      </c>
      <c r="B34" s="29" t="s">
        <v>61</v>
      </c>
      <c r="C34" s="11" t="s">
        <v>75</v>
      </c>
      <c r="D34" s="11" t="s">
        <v>66</v>
      </c>
      <c r="E34" s="12" t="s">
        <v>62</v>
      </c>
      <c r="G34" s="127" t="s">
        <v>58</v>
      </c>
      <c r="H34" s="128"/>
      <c r="I34" s="128"/>
      <c r="J34" s="128"/>
      <c r="K34" s="57" t="s">
        <v>60</v>
      </c>
      <c r="L34" s="62" t="s">
        <v>59</v>
      </c>
    </row>
    <row r="35" spans="1:12" ht="16.05" customHeight="1">
      <c r="A35" s="14" t="s">
        <v>18</v>
      </c>
      <c r="B35" s="6"/>
      <c r="C35" s="16">
        <f>IF(AND(ROUNDUP(K35/1000*4,0)&gt;0,ROUNDUP(K35/1000*4,0)&lt;4),4,ROUNDUP(K35/1000*4,0))</f>
        <v>0</v>
      </c>
      <c r="D35" s="16">
        <f>C35*2</f>
        <v>0</v>
      </c>
      <c r="E35" s="85"/>
      <c r="G35" s="122" t="s">
        <v>45</v>
      </c>
      <c r="H35" s="123"/>
      <c r="I35" s="123"/>
      <c r="J35" s="123"/>
      <c r="K35" s="58">
        <f>B8</f>
        <v>0</v>
      </c>
      <c r="L35" s="59"/>
    </row>
    <row r="36" spans="1:12" ht="16.95" customHeight="1">
      <c r="A36" s="18" t="s">
        <v>19</v>
      </c>
      <c r="B36" s="6"/>
      <c r="C36" s="16">
        <f>IF(AND(ROUNDUP(K36/1000*4,0)&gt;0,ROUNDUP(K36/1000*4,0)&lt;4),4,ROUNDUP(K36/1000*4,0))</f>
        <v>0</v>
      </c>
      <c r="D36" s="16">
        <f t="shared" ref="D36:D42" si="2">C36*2</f>
        <v>0</v>
      </c>
      <c r="E36" s="85"/>
      <c r="G36" s="122" t="s">
        <v>45</v>
      </c>
      <c r="H36" s="123"/>
      <c r="I36" s="123"/>
      <c r="J36" s="123"/>
      <c r="K36" s="58">
        <f>B8</f>
        <v>0</v>
      </c>
      <c r="L36" s="59"/>
    </row>
    <row r="37" spans="1:12" ht="27.6">
      <c r="A37" s="18" t="s">
        <v>20</v>
      </c>
      <c r="B37" s="6"/>
      <c r="C37" s="16">
        <f>IF(AND(ROUNDUP(K37/100,0)&gt;0,ROUNDUP(K37/100,0)&lt;2),2,ROUNDUP(K37/100,0))</f>
        <v>0</v>
      </c>
      <c r="D37" s="86" t="s">
        <v>83</v>
      </c>
      <c r="E37" s="85"/>
      <c r="G37" s="122" t="s">
        <v>21</v>
      </c>
      <c r="H37" s="123"/>
      <c r="I37" s="123"/>
      <c r="J37" s="123"/>
      <c r="K37" s="58">
        <f>F21*3+G21+H21</f>
        <v>0</v>
      </c>
      <c r="L37" s="60"/>
    </row>
    <row r="38" spans="1:12">
      <c r="A38" s="18" t="s">
        <v>22</v>
      </c>
      <c r="B38" s="15"/>
      <c r="C38" s="16">
        <f>IF(K38*0.167 + L38*1.5 + L38*0.5 = 0, 0, MAX(2, ROUNDUP(K38*0.167 + L38*1.5 + L38*0.5, 0)))</f>
        <v>0</v>
      </c>
      <c r="D38" s="16">
        <f>IF(K38*0.33 + L38*0.3 + L38*0.3 = 0, 0, MAX(4, ROUNDUP(K38*0.33 + L38*0.3 + L38*0.3, 0)))</f>
        <v>0</v>
      </c>
      <c r="E38" s="85"/>
      <c r="G38" s="155" t="s">
        <v>99</v>
      </c>
      <c r="H38" s="123"/>
      <c r="I38" s="123"/>
      <c r="J38" s="123"/>
      <c r="K38" s="58">
        <f>J8</f>
        <v>0</v>
      </c>
      <c r="L38" s="59">
        <f>J12</f>
        <v>0</v>
      </c>
    </row>
    <row r="39" spans="1:12" ht="16.05" customHeight="1">
      <c r="A39" s="14" t="s">
        <v>23</v>
      </c>
      <c r="B39" s="6"/>
      <c r="C39" s="16">
        <f>IF(AND(ROUNDUP(K39/1000*4,0)+ROUNDUP(L39/24*4,0)&gt;0,ROUNDUP(K39/1000*4,0)+ROUNDUP(L39/24*4,0)&lt;2),2,ROUNDUP(K39/1000*4,0)+ROUNDUP(L39/24*4,0))</f>
        <v>2</v>
      </c>
      <c r="D39" s="16">
        <f t="shared" si="2"/>
        <v>4</v>
      </c>
      <c r="E39" s="87">
        <f>$B$10*6</f>
        <v>0</v>
      </c>
      <c r="G39" s="122" t="s">
        <v>46</v>
      </c>
      <c r="H39" s="123"/>
      <c r="I39" s="123"/>
      <c r="J39" s="123"/>
      <c r="K39" s="58">
        <f>B8*0.25</f>
        <v>0</v>
      </c>
      <c r="L39" s="61">
        <f>D10+H8</f>
        <v>8</v>
      </c>
    </row>
    <row r="40" spans="1:12">
      <c r="A40" s="18" t="s">
        <v>24</v>
      </c>
      <c r="B40" s="6"/>
      <c r="C40" s="16">
        <f>IF(AND(ROUNDUP(K40/1000*10,0)&gt;0,ROUNDUP(K40/1000*10,0)&lt;2),2,ROUNDUP(K40/1000*10,0))</f>
        <v>0</v>
      </c>
      <c r="D40" s="16">
        <f>IF(C40 = 0, 0, 8)</f>
        <v>0</v>
      </c>
      <c r="E40" s="87">
        <f>3*F8</f>
        <v>0</v>
      </c>
      <c r="G40" s="155" t="s">
        <v>100</v>
      </c>
      <c r="H40" s="123"/>
      <c r="I40" s="123"/>
      <c r="J40" s="123"/>
      <c r="K40" s="58">
        <f>F8</f>
        <v>0</v>
      </c>
      <c r="L40" s="59"/>
    </row>
    <row r="41" spans="1:12" ht="16.05" customHeight="1">
      <c r="A41" s="19" t="s">
        <v>25</v>
      </c>
      <c r="B41" s="20"/>
      <c r="C41" s="16">
        <f>IF(AND(ROUNDUP(K41*2,0)+ROUNDUP(L41/24*4,0)&gt;0,ROUNDUP(K41*2,0)+ROUNDUP(L41/24*4,0)&lt;2),2,ROUNDUP(K41*2,0)+ROUNDUP(L41/24*4,0))</f>
        <v>3</v>
      </c>
      <c r="D41" s="16">
        <f t="shared" si="2"/>
        <v>6</v>
      </c>
      <c r="E41" s="88"/>
      <c r="G41" s="156" t="s">
        <v>70</v>
      </c>
      <c r="H41" s="123"/>
      <c r="I41" s="123"/>
      <c r="J41" s="123"/>
      <c r="K41" s="58">
        <f>J21</f>
        <v>1</v>
      </c>
      <c r="L41" s="61">
        <f>H8</f>
        <v>6</v>
      </c>
    </row>
    <row r="42" spans="1:12" ht="16.95" customHeight="1">
      <c r="A42" s="19" t="s">
        <v>57</v>
      </c>
      <c r="B42" s="63"/>
      <c r="C42" s="89">
        <f>IF(AND(ROUNDUP(K42/1000,0)&gt;0,ROUNDUP(K42/1000,0)&lt;2),2,ROUNDUP(K42/1000,0))</f>
        <v>0</v>
      </c>
      <c r="D42" s="16">
        <f t="shared" si="2"/>
        <v>0</v>
      </c>
      <c r="E42" s="88"/>
      <c r="G42" s="157" t="s">
        <v>71</v>
      </c>
      <c r="H42" s="158"/>
      <c r="I42" s="158"/>
      <c r="J42" s="159"/>
      <c r="K42" s="64">
        <f>B8</f>
        <v>0</v>
      </c>
      <c r="L42" s="66"/>
    </row>
    <row r="43" spans="1:12">
      <c r="A43" s="26" t="s">
        <v>43</v>
      </c>
      <c r="B43" s="16">
        <v>4</v>
      </c>
      <c r="C43" s="16">
        <v>4</v>
      </c>
      <c r="D43" s="16">
        <v>8</v>
      </c>
      <c r="E43" s="90"/>
      <c r="G43" s="157"/>
      <c r="H43" s="158"/>
      <c r="I43" s="158"/>
      <c r="J43" s="159"/>
      <c r="K43" s="65"/>
      <c r="L43" s="66"/>
    </row>
    <row r="44" spans="1:12" ht="16.95" customHeight="1" thickBot="1">
      <c r="A44" s="22" t="s">
        <v>27</v>
      </c>
      <c r="B44" s="23">
        <v>1</v>
      </c>
      <c r="C44" s="23">
        <v>2</v>
      </c>
      <c r="D44" s="23">
        <v>4</v>
      </c>
      <c r="E44" s="42"/>
      <c r="G44" s="147" t="s">
        <v>72</v>
      </c>
      <c r="H44" s="148"/>
      <c r="I44" s="67"/>
      <c r="J44" s="67"/>
      <c r="K44" s="68"/>
      <c r="L44" s="69"/>
    </row>
    <row r="45" spans="1:12">
      <c r="A45" s="10" t="s">
        <v>34</v>
      </c>
      <c r="B45" s="24">
        <v>1</v>
      </c>
      <c r="C45" s="24">
        <v>4</v>
      </c>
      <c r="D45" s="77">
        <v>8</v>
      </c>
      <c r="E45" s="33"/>
      <c r="G45" s="127" t="s">
        <v>26</v>
      </c>
      <c r="H45" s="128"/>
      <c r="I45" s="128"/>
      <c r="J45" s="128"/>
      <c r="K45" s="128"/>
      <c r="L45" s="129"/>
    </row>
    <row r="46" spans="1:12" ht="16.2" thickBot="1">
      <c r="A46" s="25" t="s">
        <v>36</v>
      </c>
      <c r="B46" s="23">
        <v>1</v>
      </c>
      <c r="C46" s="23">
        <v>4</v>
      </c>
      <c r="D46" s="78">
        <v>8</v>
      </c>
      <c r="E46" s="153" t="s">
        <v>73</v>
      </c>
      <c r="F46" s="154"/>
      <c r="G46" s="47"/>
      <c r="H46" s="48" t="s">
        <v>28</v>
      </c>
      <c r="I46" s="48" t="s">
        <v>29</v>
      </c>
      <c r="J46" s="48" t="s">
        <v>30</v>
      </c>
      <c r="K46" s="48" t="s">
        <v>31</v>
      </c>
      <c r="L46" s="49" t="s">
        <v>32</v>
      </c>
    </row>
    <row r="47" spans="1:12">
      <c r="A47" s="10" t="s">
        <v>37</v>
      </c>
      <c r="B47" s="24">
        <f t="shared" ref="B47:B48" si="3">2*1</f>
        <v>2</v>
      </c>
      <c r="C47" s="24">
        <f>$H$47*$H$48+$I$47*$I$48+$J$47*$J$48+$K$47*$K$48+$L$47*$L$48</f>
        <v>16</v>
      </c>
      <c r="D47" s="77">
        <f>$H$47*$H$49+$I$47*$I$49+$J$47*$J$49+$K$47*$K$49+$L$47*$L$49</f>
        <v>32</v>
      </c>
      <c r="E47" s="149" t="s">
        <v>38</v>
      </c>
      <c r="F47" s="150"/>
      <c r="G47" s="47" t="s">
        <v>33</v>
      </c>
      <c r="H47" s="44">
        <v>1</v>
      </c>
      <c r="I47" s="48">
        <v>1</v>
      </c>
      <c r="J47" s="48">
        <v>1</v>
      </c>
      <c r="K47" s="48">
        <v>1</v>
      </c>
      <c r="L47" s="49">
        <v>1</v>
      </c>
    </row>
    <row r="48" spans="1:12">
      <c r="A48" s="14" t="s">
        <v>39</v>
      </c>
      <c r="B48" s="16">
        <f t="shared" si="3"/>
        <v>2</v>
      </c>
      <c r="C48" s="16">
        <f>$H$47*$H$48</f>
        <v>4</v>
      </c>
      <c r="D48" s="28">
        <f>$H$47*$H$49</f>
        <v>8</v>
      </c>
      <c r="E48" s="46" t="s">
        <v>40</v>
      </c>
      <c r="G48" s="50" t="s">
        <v>17</v>
      </c>
      <c r="H48" s="48">
        <v>4</v>
      </c>
      <c r="I48" s="48">
        <v>4</v>
      </c>
      <c r="J48" s="48">
        <v>4</v>
      </c>
      <c r="K48" s="48">
        <v>2</v>
      </c>
      <c r="L48" s="49">
        <v>2</v>
      </c>
    </row>
    <row r="49" spans="1:12" ht="16.2" thickBot="1">
      <c r="A49" s="25" t="s">
        <v>41</v>
      </c>
      <c r="B49" s="23">
        <v>1</v>
      </c>
      <c r="C49" s="23">
        <f>$I$47*$I$48+$J$47*$J$48+$K$47*$K$48+$L$47*$L$48</f>
        <v>12</v>
      </c>
      <c r="D49" s="78">
        <f>$I$47*$I$49+$J$47*$J$49+$K$47*$K$49+$L$47*$L$49</f>
        <v>24</v>
      </c>
      <c r="E49" s="151" t="s">
        <v>42</v>
      </c>
      <c r="F49" s="152"/>
      <c r="G49" s="51" t="s">
        <v>35</v>
      </c>
      <c r="H49" s="52">
        <v>8</v>
      </c>
      <c r="I49" s="52">
        <v>8</v>
      </c>
      <c r="J49" s="52">
        <v>8</v>
      </c>
      <c r="K49" s="52">
        <v>4</v>
      </c>
      <c r="L49" s="53">
        <v>4</v>
      </c>
    </row>
    <row r="50" spans="1:12" ht="18" customHeight="1">
      <c r="G50" s="144" t="s">
        <v>69</v>
      </c>
      <c r="H50" s="145"/>
      <c r="I50" s="145"/>
      <c r="J50" s="145"/>
      <c r="K50" s="145"/>
      <c r="L50" s="146"/>
    </row>
    <row r="51" spans="1:12" ht="16.2" thickBot="1">
      <c r="G51" s="124" t="s">
        <v>44</v>
      </c>
      <c r="H51" s="125"/>
      <c r="I51" s="125"/>
      <c r="J51" s="125"/>
      <c r="K51" s="125"/>
      <c r="L51" s="126"/>
    </row>
    <row r="52" spans="1:12" ht="16.2" thickBot="1"/>
    <row r="53" spans="1:12">
      <c r="A53" s="135" t="s">
        <v>81</v>
      </c>
      <c r="B53" s="136"/>
      <c r="C53" s="136"/>
      <c r="D53" s="136"/>
      <c r="E53" s="136"/>
      <c r="F53" s="137"/>
    </row>
    <row r="54" spans="1:12" ht="16.2" thickBot="1">
      <c r="A54" s="138"/>
      <c r="B54" s="139"/>
      <c r="C54" s="139"/>
      <c r="D54" s="139"/>
      <c r="E54" s="139"/>
      <c r="F54" s="140"/>
    </row>
    <row r="55" spans="1:12" ht="99" customHeight="1">
      <c r="A55" s="32" t="s">
        <v>67</v>
      </c>
      <c r="B55" s="29" t="s">
        <v>61</v>
      </c>
      <c r="C55" s="11" t="s">
        <v>76</v>
      </c>
      <c r="D55" s="11" t="s">
        <v>74</v>
      </c>
      <c r="E55" s="11" t="s">
        <v>65</v>
      </c>
      <c r="F55" s="12" t="s">
        <v>62</v>
      </c>
      <c r="H55" s="72" t="s">
        <v>78</v>
      </c>
      <c r="I55" s="72" t="s">
        <v>79</v>
      </c>
    </row>
    <row r="56" spans="1:12">
      <c r="A56" s="14" t="s">
        <v>18</v>
      </c>
      <c r="B56" s="44">
        <v>2</v>
      </c>
      <c r="C56" s="71">
        <v>2</v>
      </c>
      <c r="D56" s="71">
        <v>4</v>
      </c>
      <c r="E56" s="16">
        <v>50</v>
      </c>
      <c r="F56" s="17"/>
      <c r="H56" s="6" t="str">
        <f t="shared" ref="H56:H70" si="4">IF(B56*C56&lt;C35, "добавьте cpu", "верно")</f>
        <v>верно</v>
      </c>
      <c r="I56" s="6" t="str">
        <f t="shared" ref="I56:I70" si="5">IF(B56*D56&lt;D35, "добавьте RAM", "верно")</f>
        <v>верно</v>
      </c>
    </row>
    <row r="57" spans="1:12">
      <c r="A57" s="18" t="s">
        <v>19</v>
      </c>
      <c r="B57" s="44">
        <v>2</v>
      </c>
      <c r="C57" s="71">
        <v>2</v>
      </c>
      <c r="D57" s="71">
        <v>4</v>
      </c>
      <c r="E57" s="16">
        <v>50</v>
      </c>
      <c r="F57" s="17"/>
      <c r="H57" s="6" t="str">
        <f t="shared" si="4"/>
        <v>верно</v>
      </c>
      <c r="I57" s="6" t="str">
        <f t="shared" si="5"/>
        <v>верно</v>
      </c>
    </row>
    <row r="58" spans="1:12">
      <c r="A58" s="18" t="s">
        <v>20</v>
      </c>
      <c r="B58" s="44">
        <v>2</v>
      </c>
      <c r="C58" s="71">
        <v>2</v>
      </c>
      <c r="D58" s="71">
        <v>4</v>
      </c>
      <c r="E58" s="16">
        <v>50</v>
      </c>
      <c r="F58" s="17"/>
      <c r="H58" s="6" t="str">
        <f t="shared" si="4"/>
        <v>верно</v>
      </c>
      <c r="I58" s="6" t="str">
        <f>"верно"</f>
        <v>верно</v>
      </c>
    </row>
    <row r="59" spans="1:12">
      <c r="A59" s="18" t="s">
        <v>22</v>
      </c>
      <c r="B59" s="44">
        <v>2</v>
      </c>
      <c r="C59" s="71">
        <v>2</v>
      </c>
      <c r="D59" s="71">
        <v>4</v>
      </c>
      <c r="E59" s="16">
        <v>50</v>
      </c>
      <c r="F59" s="17"/>
      <c r="H59" s="6" t="str">
        <f t="shared" si="4"/>
        <v>верно</v>
      </c>
      <c r="I59" s="6" t="str">
        <f t="shared" si="5"/>
        <v>верно</v>
      </c>
    </row>
    <row r="60" spans="1:12">
      <c r="A60" s="14" t="s">
        <v>23</v>
      </c>
      <c r="B60" s="44">
        <v>2</v>
      </c>
      <c r="C60" s="71">
        <v>2</v>
      </c>
      <c r="D60" s="71">
        <v>4</v>
      </c>
      <c r="E60" s="16">
        <v>100</v>
      </c>
      <c r="F60" s="17">
        <f>$B$10*6</f>
        <v>0</v>
      </c>
      <c r="H60" s="6" t="str">
        <f t="shared" si="4"/>
        <v>верно</v>
      </c>
      <c r="I60" s="6" t="str">
        <f t="shared" si="5"/>
        <v>верно</v>
      </c>
    </row>
    <row r="61" spans="1:12">
      <c r="A61" s="18" t="s">
        <v>24</v>
      </c>
      <c r="B61" s="44">
        <v>2</v>
      </c>
      <c r="C61" s="71">
        <v>2</v>
      </c>
      <c r="D61" s="71">
        <v>4</v>
      </c>
      <c r="E61" s="16">
        <v>50</v>
      </c>
      <c r="F61" s="17">
        <f>3*F8</f>
        <v>0</v>
      </c>
      <c r="H61" s="6" t="str">
        <f t="shared" si="4"/>
        <v>верно</v>
      </c>
      <c r="I61" s="6" t="str">
        <f t="shared" si="5"/>
        <v>верно</v>
      </c>
    </row>
    <row r="62" spans="1:12">
      <c r="A62" s="19" t="s">
        <v>25</v>
      </c>
      <c r="B62" s="44">
        <v>2</v>
      </c>
      <c r="C62" s="71">
        <v>2</v>
      </c>
      <c r="D62" s="71">
        <v>4</v>
      </c>
      <c r="E62" s="16">
        <v>100</v>
      </c>
      <c r="F62" s="21"/>
      <c r="H62" s="6" t="str">
        <f t="shared" si="4"/>
        <v>верно</v>
      </c>
      <c r="I62" s="6" t="str">
        <f t="shared" si="5"/>
        <v>верно</v>
      </c>
    </row>
    <row r="63" spans="1:12">
      <c r="A63" s="19" t="s">
        <v>57</v>
      </c>
      <c r="B63" s="44">
        <v>2</v>
      </c>
      <c r="C63" s="71">
        <v>2</v>
      </c>
      <c r="D63" s="71">
        <v>4</v>
      </c>
      <c r="E63" s="16">
        <v>50</v>
      </c>
      <c r="F63" s="21"/>
      <c r="H63" s="6" t="str">
        <f t="shared" si="4"/>
        <v>верно</v>
      </c>
      <c r="I63" s="6" t="str">
        <f t="shared" si="5"/>
        <v>верно</v>
      </c>
    </row>
    <row r="64" spans="1:12">
      <c r="A64" s="26" t="s">
        <v>43</v>
      </c>
      <c r="B64" s="16">
        <v>4</v>
      </c>
      <c r="C64" s="43">
        <v>4</v>
      </c>
      <c r="D64" s="16">
        <v>8</v>
      </c>
      <c r="E64" s="16">
        <v>50</v>
      </c>
      <c r="F64" s="41"/>
      <c r="H64" s="6" t="str">
        <f t="shared" si="4"/>
        <v>верно</v>
      </c>
      <c r="I64" s="6" t="str">
        <f t="shared" si="5"/>
        <v>верно</v>
      </c>
    </row>
    <row r="65" spans="1:9">
      <c r="A65" s="18" t="s">
        <v>27</v>
      </c>
      <c r="B65" s="16">
        <v>1</v>
      </c>
      <c r="C65" s="16">
        <v>2</v>
      </c>
      <c r="D65" s="16">
        <v>4</v>
      </c>
      <c r="E65" s="16">
        <v>200</v>
      </c>
      <c r="F65" s="41"/>
      <c r="H65" s="6" t="str">
        <f t="shared" si="4"/>
        <v>верно</v>
      </c>
      <c r="I65" s="6" t="str">
        <f t="shared" si="5"/>
        <v>верно</v>
      </c>
    </row>
    <row r="66" spans="1:9">
      <c r="A66" s="14" t="s">
        <v>34</v>
      </c>
      <c r="B66" s="16">
        <v>1</v>
      </c>
      <c r="C66" s="16">
        <v>4</v>
      </c>
      <c r="D66" s="16">
        <v>8</v>
      </c>
      <c r="E66" s="30">
        <f>50+ROUNDUP(B8*0.015625*B12, 0)</f>
        <v>50</v>
      </c>
      <c r="F66" s="13"/>
      <c r="H66" s="6" t="str">
        <f t="shared" si="4"/>
        <v>верно</v>
      </c>
      <c r="I66" s="6" t="str">
        <f t="shared" si="5"/>
        <v>верно</v>
      </c>
    </row>
    <row r="67" spans="1:9">
      <c r="A67" s="14" t="s">
        <v>36</v>
      </c>
      <c r="B67" s="16">
        <v>1</v>
      </c>
      <c r="C67" s="16">
        <v>4</v>
      </c>
      <c r="D67" s="16">
        <v>8</v>
      </c>
      <c r="E67" s="30">
        <f>50+(0.6*B12)</f>
        <v>54.2</v>
      </c>
      <c r="F67" s="13"/>
      <c r="H67" s="6" t="str">
        <f t="shared" si="4"/>
        <v>верно</v>
      </c>
      <c r="I67" s="6" t="str">
        <f t="shared" si="5"/>
        <v>верно</v>
      </c>
    </row>
    <row r="68" spans="1:9">
      <c r="A68" s="14" t="s">
        <v>37</v>
      </c>
      <c r="B68" s="16">
        <f t="shared" ref="B68:B69" si="6">2*1</f>
        <v>2</v>
      </c>
      <c r="C68" s="16">
        <f>$H$47*$H$48+$I$47*$I$48+$J$47*$J$48+$K$47*$K$48+$L$47*$L$48</f>
        <v>16</v>
      </c>
      <c r="D68" s="16">
        <f>$H$47*$H$49+$I$47*$I$49+$J$47*$J$49+$K$47*$K$49+$L$47*$L$49</f>
        <v>32</v>
      </c>
      <c r="E68" s="30">
        <f>100+(0.15*$B$8/365*$J$10)+((0.25*$B$8/365*$H$10)+($H$8*$F$10)+($D$10*$F$10))/2</f>
        <v>220</v>
      </c>
      <c r="F68" s="13"/>
      <c r="H68" s="6" t="str">
        <f t="shared" si="4"/>
        <v>верно</v>
      </c>
      <c r="I68" s="6" t="str">
        <f t="shared" si="5"/>
        <v>верно</v>
      </c>
    </row>
    <row r="69" spans="1:9">
      <c r="A69" s="14" t="s">
        <v>39</v>
      </c>
      <c r="B69" s="16">
        <f t="shared" si="6"/>
        <v>2</v>
      </c>
      <c r="C69" s="16">
        <f>$H$47*$H$48</f>
        <v>4</v>
      </c>
      <c r="D69" s="16">
        <f>$H$47*$H$49</f>
        <v>8</v>
      </c>
      <c r="E69" s="30">
        <f>100+((0.25*$B$8/365*$H$10)+($H$8*$F$10)+($D$10*$F$10))/2</f>
        <v>220</v>
      </c>
      <c r="F69" s="13"/>
      <c r="H69" s="6" t="str">
        <f t="shared" si="4"/>
        <v>верно</v>
      </c>
      <c r="I69" s="6" t="str">
        <f t="shared" si="5"/>
        <v>верно</v>
      </c>
    </row>
    <row r="70" spans="1:9" ht="16.2" thickBot="1">
      <c r="A70" s="25" t="s">
        <v>41</v>
      </c>
      <c r="B70" s="23">
        <v>1</v>
      </c>
      <c r="C70" s="23">
        <f>$I$47*$I$48+$J$47*$J$48+$K$47*$K$48+$L$47*$L$48</f>
        <v>12</v>
      </c>
      <c r="D70" s="23">
        <f>$I$47*$I$49+$J$47*$J$49+$K$47*$K$49+$L$47*$L$49</f>
        <v>24</v>
      </c>
      <c r="E70" s="31">
        <f>100+(0.15*$B$8/365*$J$10)</f>
        <v>100</v>
      </c>
      <c r="F70" s="70"/>
      <c r="H70" s="6" t="str">
        <f t="shared" si="4"/>
        <v>верно</v>
      </c>
      <c r="I70" s="6" t="str">
        <f t="shared" si="5"/>
        <v>верно</v>
      </c>
    </row>
    <row r="71" spans="1:9" ht="16.2" thickBot="1">
      <c r="A71" s="73" t="s">
        <v>77</v>
      </c>
      <c r="B71" s="74">
        <f>SUM(B56:B70)</f>
        <v>28</v>
      </c>
      <c r="C71" s="74">
        <f>SUMPRODUCT(B56:B70,C56:C70)</f>
        <v>110</v>
      </c>
      <c r="D71" s="74">
        <f>SUMPRODUCT(B56:B70,D56:D70)</f>
        <v>220</v>
      </c>
      <c r="E71" s="74">
        <f>SUMPRODUCT(B56:B70,E56:E70)</f>
        <v>2484.1999999999998</v>
      </c>
      <c r="F71" s="75"/>
    </row>
  </sheetData>
  <mergeCells count="27">
    <mergeCell ref="A53:F54"/>
    <mergeCell ref="A28:E28"/>
    <mergeCell ref="A26:E26"/>
    <mergeCell ref="A29:E32"/>
    <mergeCell ref="G50:L50"/>
    <mergeCell ref="G44:H44"/>
    <mergeCell ref="E47:F47"/>
    <mergeCell ref="E49:F49"/>
    <mergeCell ref="E46:F46"/>
    <mergeCell ref="G40:J40"/>
    <mergeCell ref="G41:J41"/>
    <mergeCell ref="G42:J43"/>
    <mergeCell ref="G36:J36"/>
    <mergeCell ref="G37:J37"/>
    <mergeCell ref="G38:J38"/>
    <mergeCell ref="A1:E1"/>
    <mergeCell ref="A14:I14"/>
    <mergeCell ref="K15:K21"/>
    <mergeCell ref="G39:J39"/>
    <mergeCell ref="G51:L51"/>
    <mergeCell ref="G45:L45"/>
    <mergeCell ref="A3:J3"/>
    <mergeCell ref="G34:J34"/>
    <mergeCell ref="G35:J35"/>
    <mergeCell ref="F22:J24"/>
    <mergeCell ref="A5:J5"/>
    <mergeCell ref="A4:J4"/>
  </mergeCells>
  <conditionalFormatting sqref="H56:I70">
    <cfRule type="containsText" dxfId="2" priority="1" operator="containsText" text="добавьте">
      <formula>NOT(ISERROR(SEARCH("добавьте",H56)))</formula>
    </cfRule>
  </conditionalFormatting>
  <dataValidations count="6">
    <dataValidation type="list" allowBlank="1" showInputMessage="1" showErrorMessage="1" sqref="H47:L47" xr:uid="{0ACA915F-3AA9-654A-B0EB-8962D9F7ED43}">
      <formula1>"1,0"</formula1>
    </dataValidation>
    <dataValidation type="whole" operator="notBetween" allowBlank="1" showErrorMessage="1" error="Сервер данного типа не может быть 1" sqref="B56:B63" xr:uid="{865D5065-22F2-45FA-BDE1-398304A3EE17}">
      <formula1>1</formula1>
      <formula2>1</formula2>
    </dataValidation>
    <dataValidation type="whole" operator="notBetween" allowBlank="1" showErrorMessage="1" error="Используйте не менее 2 ядер" sqref="C56:C63" xr:uid="{BF320CA1-275A-4A81-B71E-F9B55BE968D8}">
      <formula1>1</formula1>
      <formula2>1</formula2>
    </dataValidation>
    <dataValidation allowBlank="1" sqref="E66" xr:uid="{57131C16-375F-41B0-AD7A-E61D7E61A053}"/>
    <dataValidation type="whole" allowBlank="1" showInputMessage="1" showErrorMessage="1" errorTitle="Укажите правильное значение RAM" error="Для каждого сервера MEDIA необходимо не менее 4Гб и не более 8Гб RAM независимо от количества пользователей." prompt="Для каждого сервера MEDIA необходимо не менее 4Гб и не более 8Гб RAM независимо от количества пользователей." sqref="D58" xr:uid="{D3FAF243-4485-4FFA-A375-ACA885C31596}">
      <formula1>4</formula1>
      <formula2>8</formula2>
    </dataValidation>
    <dataValidation type="whole" operator="lessThanOrEqual" allowBlank="1" showInputMessage="1" showErrorMessage="1" errorTitle="Некорректное значение" error="Количество SIP видеовызовов не должно превышать количество SIP подключений (ячейка J8)." sqref="J12" xr:uid="{28AF67E8-5897-4D4B-961B-49A9AB716507}">
      <formula1>J8</formula1>
    </dataValidation>
  </dataValidations>
  <pageMargins left="0.7" right="0.7" top="0.75" bottom="0.75" header="0.3" footer="0.3"/>
  <pageSetup paperSize="9" orientation="portrait" r:id="rId1"/>
  <ignoredErrors>
    <ignoredError sqref="I58 D40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B8FC68-4258-477A-9DA0-9FB297981E3C}">
  <dimension ref="A1:L71"/>
  <sheetViews>
    <sheetView zoomScale="70" zoomScaleNormal="70" workbookViewId="0">
      <selection activeCell="A2" sqref="A2"/>
    </sheetView>
  </sheetViews>
  <sheetFormatPr defaultColWidth="11" defaultRowHeight="15.6"/>
  <cols>
    <col min="1" max="1" width="17" customWidth="1"/>
    <col min="2" max="2" width="14.19921875" customWidth="1"/>
    <col min="3" max="3" width="17.296875" customWidth="1"/>
    <col min="4" max="4" width="14.19921875" customWidth="1"/>
    <col min="5" max="5" width="15.296875" customWidth="1"/>
    <col min="6" max="6" width="13.19921875" customWidth="1"/>
    <col min="7" max="7" width="19.19921875" customWidth="1"/>
    <col min="8" max="8" width="21" customWidth="1"/>
    <col min="9" max="9" width="21.69921875" customWidth="1"/>
    <col min="10" max="10" width="20.5" customWidth="1"/>
    <col min="11" max="11" width="27.5" customWidth="1"/>
    <col min="12" max="12" width="25.296875" customWidth="1"/>
    <col min="13" max="13" width="23.19921875" customWidth="1"/>
    <col min="14" max="14" width="14.69921875" customWidth="1"/>
    <col min="15" max="15" width="18" customWidth="1"/>
    <col min="16" max="16" width="21.69921875" customWidth="1"/>
    <col min="17" max="17" width="31" customWidth="1"/>
    <col min="21" max="21" width="53.19921875" customWidth="1"/>
  </cols>
  <sheetData>
    <row r="1" spans="1:11">
      <c r="A1" s="117" t="s">
        <v>102</v>
      </c>
      <c r="B1" s="117"/>
      <c r="C1" s="117"/>
      <c r="D1" s="117"/>
      <c r="E1" s="117"/>
    </row>
    <row r="2" spans="1:11">
      <c r="A2" s="56"/>
      <c r="B2" s="56"/>
      <c r="C2" s="56"/>
      <c r="D2" s="56"/>
      <c r="E2" s="56"/>
    </row>
    <row r="3" spans="1:11" ht="18">
      <c r="A3" s="130" t="s">
        <v>94</v>
      </c>
      <c r="B3" s="130"/>
      <c r="C3" s="130"/>
      <c r="D3" s="130"/>
      <c r="E3" s="130"/>
      <c r="F3" s="130"/>
      <c r="G3" s="130"/>
      <c r="H3" s="130"/>
      <c r="I3" s="130"/>
      <c r="J3" s="130"/>
    </row>
    <row r="4" spans="1:11" ht="34.200000000000003" customHeight="1">
      <c r="A4" s="134" t="s">
        <v>93</v>
      </c>
      <c r="B4" s="134"/>
      <c r="C4" s="134"/>
      <c r="D4" s="134"/>
      <c r="E4" s="134"/>
      <c r="F4" s="134"/>
      <c r="G4" s="134"/>
      <c r="H4" s="134"/>
      <c r="I4" s="134"/>
      <c r="J4" s="134"/>
    </row>
    <row r="5" spans="1:11" ht="18">
      <c r="A5" s="133" t="s">
        <v>95</v>
      </c>
      <c r="B5" s="133"/>
      <c r="C5" s="133"/>
      <c r="D5" s="133"/>
      <c r="E5" s="133"/>
      <c r="F5" s="133"/>
      <c r="G5" s="133"/>
      <c r="H5" s="133"/>
      <c r="I5" s="133"/>
      <c r="J5" s="133"/>
    </row>
    <row r="7" spans="1:11" ht="16.2" thickBot="1">
      <c r="I7" s="1"/>
      <c r="J7" s="1"/>
      <c r="K7" s="2"/>
    </row>
    <row r="8" spans="1:11" ht="171.6">
      <c r="A8" s="91" t="s">
        <v>4</v>
      </c>
      <c r="B8" s="92">
        <v>0</v>
      </c>
      <c r="C8" s="93" t="s">
        <v>0</v>
      </c>
      <c r="D8" s="94">
        <f>B8*0.3</f>
        <v>0</v>
      </c>
      <c r="E8" s="54" t="s">
        <v>1</v>
      </c>
      <c r="F8" s="94">
        <f>D8*0.1</f>
        <v>0</v>
      </c>
      <c r="G8" s="95" t="s">
        <v>96</v>
      </c>
      <c r="H8" s="94">
        <f>J21*6</f>
        <v>6</v>
      </c>
      <c r="I8" s="55" t="s">
        <v>98</v>
      </c>
      <c r="J8" s="96">
        <v>0</v>
      </c>
    </row>
    <row r="9" spans="1:11">
      <c r="A9" s="97"/>
      <c r="B9" s="98"/>
      <c r="C9" s="98"/>
      <c r="D9" s="98"/>
      <c r="E9" s="98"/>
      <c r="F9" s="98"/>
      <c r="G9" s="98"/>
      <c r="H9" s="98"/>
      <c r="I9" s="98"/>
      <c r="J9" s="99"/>
    </row>
    <row r="10" spans="1:11" ht="93.6">
      <c r="A10" s="100" t="s">
        <v>2</v>
      </c>
      <c r="B10" s="101">
        <f>B8*0.02</f>
        <v>0</v>
      </c>
      <c r="C10" s="102" t="s">
        <v>3</v>
      </c>
      <c r="D10" s="103">
        <v>2</v>
      </c>
      <c r="E10" s="27" t="s">
        <v>54</v>
      </c>
      <c r="F10" s="104">
        <v>30</v>
      </c>
      <c r="G10" s="27" t="s">
        <v>55</v>
      </c>
      <c r="H10" s="105">
        <v>365</v>
      </c>
      <c r="I10" s="27" t="s">
        <v>56</v>
      </c>
      <c r="J10" s="106">
        <v>365</v>
      </c>
      <c r="K10" s="2"/>
    </row>
    <row r="11" spans="1:11">
      <c r="A11" s="97"/>
      <c r="B11" s="98"/>
      <c r="C11" s="98"/>
      <c r="D11" s="98"/>
      <c r="E11" s="98"/>
      <c r="F11" s="98"/>
      <c r="G11" s="98"/>
      <c r="H11" s="98"/>
      <c r="I11" s="98"/>
      <c r="J11" s="99"/>
    </row>
    <row r="12" spans="1:11" ht="63" thickBot="1">
      <c r="A12" s="107" t="s">
        <v>84</v>
      </c>
      <c r="B12" s="108">
        <v>7</v>
      </c>
      <c r="C12" s="109"/>
      <c r="D12" s="109"/>
      <c r="E12" s="109"/>
      <c r="F12" s="109"/>
      <c r="G12" s="109"/>
      <c r="H12" s="109"/>
      <c r="I12" s="115" t="s">
        <v>97</v>
      </c>
      <c r="J12" s="116">
        <v>0</v>
      </c>
    </row>
    <row r="13" spans="1:11" ht="16.2" thickBot="1"/>
    <row r="14" spans="1:11" ht="16.05" customHeight="1">
      <c r="A14" s="118" t="s">
        <v>63</v>
      </c>
      <c r="B14" s="119"/>
      <c r="C14" s="119"/>
      <c r="D14" s="119"/>
      <c r="E14" s="119"/>
      <c r="F14" s="119"/>
      <c r="G14" s="119"/>
      <c r="H14" s="119"/>
      <c r="I14" s="119"/>
      <c r="J14" s="34"/>
      <c r="K14" s="2"/>
    </row>
    <row r="15" spans="1:11" ht="204" customHeight="1">
      <c r="A15" s="18" t="s">
        <v>5</v>
      </c>
      <c r="B15" s="5" t="s">
        <v>6</v>
      </c>
      <c r="C15" s="5" t="s">
        <v>7</v>
      </c>
      <c r="D15" s="5" t="s">
        <v>8</v>
      </c>
      <c r="E15" s="5" t="s">
        <v>51</v>
      </c>
      <c r="F15" s="5" t="s">
        <v>9</v>
      </c>
      <c r="G15" s="5" t="s">
        <v>50</v>
      </c>
      <c r="H15" s="5" t="s">
        <v>52</v>
      </c>
      <c r="I15" s="5" t="s">
        <v>10</v>
      </c>
      <c r="J15" s="35" t="s">
        <v>53</v>
      </c>
      <c r="K15" s="120" t="s">
        <v>47</v>
      </c>
    </row>
    <row r="16" spans="1:11">
      <c r="A16" s="36" t="s">
        <v>11</v>
      </c>
      <c r="B16" s="7">
        <v>40</v>
      </c>
      <c r="C16" s="8">
        <f>$D$8*B16/100</f>
        <v>0</v>
      </c>
      <c r="D16" s="9">
        <v>2</v>
      </c>
      <c r="E16" s="9">
        <v>2</v>
      </c>
      <c r="F16" s="8">
        <f t="shared" ref="F16:F18" si="0">ROUNDUP(C16/D16*E16,0)</f>
        <v>0</v>
      </c>
      <c r="G16" s="9">
        <v>10</v>
      </c>
      <c r="H16" s="9">
        <v>60</v>
      </c>
      <c r="I16" s="8">
        <f t="shared" ref="I16:I18" si="1">ROUNDUP(C16/D16,0)</f>
        <v>0</v>
      </c>
      <c r="J16" s="37">
        <v>1</v>
      </c>
      <c r="K16" s="121"/>
    </row>
    <row r="17" spans="1:11">
      <c r="A17" s="36" t="s">
        <v>12</v>
      </c>
      <c r="B17" s="7">
        <v>32</v>
      </c>
      <c r="C17" s="8">
        <f>$D$8*B17/100</f>
        <v>0</v>
      </c>
      <c r="D17" s="9">
        <v>4</v>
      </c>
      <c r="E17" s="9">
        <v>3</v>
      </c>
      <c r="F17" s="8">
        <f t="shared" si="0"/>
        <v>0</v>
      </c>
      <c r="G17" s="9">
        <v>10</v>
      </c>
      <c r="H17" s="9">
        <v>60</v>
      </c>
      <c r="I17" s="8">
        <f t="shared" si="1"/>
        <v>0</v>
      </c>
      <c r="J17" s="37">
        <v>2</v>
      </c>
      <c r="K17" s="121"/>
    </row>
    <row r="18" spans="1:11">
      <c r="A18" s="36" t="s">
        <v>13</v>
      </c>
      <c r="B18" s="7">
        <v>16</v>
      </c>
      <c r="C18" s="8">
        <f>$D$8*B18/100</f>
        <v>0</v>
      </c>
      <c r="D18" s="9">
        <v>8</v>
      </c>
      <c r="E18" s="9">
        <v>4</v>
      </c>
      <c r="F18" s="8">
        <f t="shared" si="0"/>
        <v>0</v>
      </c>
      <c r="G18" s="9">
        <v>10</v>
      </c>
      <c r="H18" s="9">
        <v>60</v>
      </c>
      <c r="I18" s="8">
        <f t="shared" si="1"/>
        <v>0</v>
      </c>
      <c r="J18" s="37">
        <v>3</v>
      </c>
      <c r="K18" s="121"/>
    </row>
    <row r="19" spans="1:11">
      <c r="A19" s="36" t="s">
        <v>14</v>
      </c>
      <c r="B19" s="7">
        <v>10</v>
      </c>
      <c r="C19" s="8">
        <f>$D$8*B19/100</f>
        <v>0</v>
      </c>
      <c r="D19" s="9">
        <v>20</v>
      </c>
      <c r="E19" s="9">
        <v>4</v>
      </c>
      <c r="F19" s="8">
        <f>ROUNDUP(C19/D19*E19,0)</f>
        <v>0</v>
      </c>
      <c r="G19" s="9">
        <v>10</v>
      </c>
      <c r="H19" s="9">
        <v>60</v>
      </c>
      <c r="I19" s="8">
        <f>ROUNDUP(C19/D19,0)</f>
        <v>0</v>
      </c>
      <c r="J19" s="37">
        <v>5</v>
      </c>
      <c r="K19" s="121"/>
    </row>
    <row r="20" spans="1:11">
      <c r="A20" s="36" t="s">
        <v>15</v>
      </c>
      <c r="B20" s="7">
        <v>2</v>
      </c>
      <c r="C20" s="8">
        <f>$D$8*B20/100</f>
        <v>0</v>
      </c>
      <c r="D20" s="9">
        <v>50</v>
      </c>
      <c r="E20" s="9">
        <v>3</v>
      </c>
      <c r="F20" s="8">
        <f>ROUNDUP(C20/D20*E20,0)</f>
        <v>0</v>
      </c>
      <c r="G20" s="9">
        <v>10</v>
      </c>
      <c r="H20" s="9">
        <v>70</v>
      </c>
      <c r="I20" s="8">
        <f>ROUNDUP(C20/D20,0)</f>
        <v>0</v>
      </c>
      <c r="J20" s="37">
        <v>7</v>
      </c>
      <c r="K20" s="121"/>
    </row>
    <row r="21" spans="1:11" ht="16.2" thickBot="1">
      <c r="A21" s="38" t="s">
        <v>16</v>
      </c>
      <c r="B21" s="39">
        <f>SUM(B16:B20)</f>
        <v>100</v>
      </c>
      <c r="C21" s="39">
        <f>SUM(C16:C20)</f>
        <v>0</v>
      </c>
      <c r="D21" s="40"/>
      <c r="E21" s="40"/>
      <c r="F21" s="39">
        <f>SUM(F16:F20)</f>
        <v>0</v>
      </c>
      <c r="G21" s="39">
        <f>ROUNDUP(C16*G16/100+C17*G17/100+C18*G18/100+C19*G19/100+C20*G20/100,0)</f>
        <v>0</v>
      </c>
      <c r="H21" s="39">
        <f>ROUNDUP(C16*H16/100+C17*H17/100+C18*H18/100+C19*H19/100,0)</f>
        <v>0</v>
      </c>
      <c r="I21" s="39">
        <f>SUM(I16:I20)</f>
        <v>0</v>
      </c>
      <c r="J21" s="114">
        <v>1</v>
      </c>
      <c r="K21" s="121"/>
    </row>
    <row r="22" spans="1:11" ht="16.05" customHeight="1">
      <c r="A22" s="3"/>
      <c r="F22" s="131" t="s">
        <v>49</v>
      </c>
      <c r="G22" s="131"/>
      <c r="H22" s="131"/>
      <c r="I22" s="131"/>
      <c r="J22" s="131"/>
    </row>
    <row r="23" spans="1:11">
      <c r="F23" s="132"/>
      <c r="G23" s="132"/>
      <c r="H23" s="132"/>
      <c r="I23" s="132"/>
      <c r="J23" s="132"/>
    </row>
    <row r="24" spans="1:11" ht="34.049999999999997" customHeight="1">
      <c r="F24" s="132"/>
      <c r="G24" s="132"/>
      <c r="H24" s="132"/>
      <c r="I24" s="132"/>
      <c r="J24" s="132"/>
    </row>
    <row r="25" spans="1:11" ht="19.05" customHeight="1"/>
    <row r="26" spans="1:11">
      <c r="A26" s="142" t="s">
        <v>82</v>
      </c>
      <c r="B26" s="142"/>
      <c r="C26" s="142"/>
      <c r="D26" s="142"/>
      <c r="E26" s="142"/>
    </row>
    <row r="27" spans="1:11">
      <c r="A27" s="4" t="s">
        <v>101</v>
      </c>
      <c r="B27" s="76"/>
      <c r="C27" s="76"/>
      <c r="D27" s="76"/>
      <c r="E27" s="76"/>
    </row>
    <row r="28" spans="1:11" ht="16.05" customHeight="1">
      <c r="A28" s="143" t="s">
        <v>80</v>
      </c>
      <c r="B28" s="143"/>
      <c r="C28" s="143"/>
      <c r="D28" s="143"/>
      <c r="E28" s="143"/>
    </row>
    <row r="29" spans="1:11">
      <c r="A29" s="143"/>
      <c r="B29" s="143"/>
      <c r="C29" s="143"/>
      <c r="D29" s="143"/>
      <c r="E29" s="143"/>
    </row>
    <row r="30" spans="1:11">
      <c r="A30" s="143"/>
      <c r="B30" s="143"/>
      <c r="C30" s="143"/>
      <c r="D30" s="143"/>
      <c r="E30" s="143"/>
    </row>
    <row r="31" spans="1:11">
      <c r="A31" s="143"/>
      <c r="B31" s="143"/>
      <c r="C31" s="143"/>
      <c r="D31" s="143"/>
      <c r="E31" s="143"/>
    </row>
    <row r="32" spans="1:11" ht="16.2" thickBot="1">
      <c r="A32" s="45"/>
      <c r="B32" s="45"/>
      <c r="C32" s="45"/>
      <c r="D32" s="45"/>
      <c r="E32" s="45"/>
    </row>
    <row r="33" spans="1:12" ht="66" customHeight="1">
      <c r="A33" s="32" t="s">
        <v>67</v>
      </c>
      <c r="B33" s="29" t="s">
        <v>61</v>
      </c>
      <c r="C33" s="11" t="s">
        <v>75</v>
      </c>
      <c r="D33" s="11" t="s">
        <v>66</v>
      </c>
      <c r="E33" s="12" t="s">
        <v>62</v>
      </c>
      <c r="G33" s="127" t="s">
        <v>58</v>
      </c>
      <c r="H33" s="128"/>
      <c r="I33" s="128"/>
      <c r="J33" s="128"/>
      <c r="K33" s="57" t="s">
        <v>60</v>
      </c>
      <c r="L33" s="62" t="s">
        <v>59</v>
      </c>
    </row>
    <row r="34" spans="1:12" ht="16.05" customHeight="1">
      <c r="A34" s="14" t="s">
        <v>18</v>
      </c>
      <c r="B34" s="6"/>
      <c r="C34" s="16">
        <f>IF(AND(ROUNDUP(K34/1000*4,0)&gt;0,ROUNDUP(K34/1000*4,0)&lt;4),4,ROUNDUP(K34/1000*4,0))</f>
        <v>0</v>
      </c>
      <c r="D34" s="16">
        <f>C34*2</f>
        <v>0</v>
      </c>
      <c r="E34" s="85"/>
      <c r="G34" s="122" t="s">
        <v>45</v>
      </c>
      <c r="H34" s="123"/>
      <c r="I34" s="123"/>
      <c r="J34" s="123"/>
      <c r="K34" s="58">
        <f>B8</f>
        <v>0</v>
      </c>
      <c r="L34" s="59"/>
    </row>
    <row r="35" spans="1:12" ht="16.95" customHeight="1">
      <c r="A35" s="18" t="s">
        <v>19</v>
      </c>
      <c r="B35" s="6"/>
      <c r="C35" s="16">
        <f>IF(AND(ROUNDUP(K35/1000*4,0)&gt;0,ROUNDUP(K35/1000*4,0)&lt;4),4,ROUNDUP(K35/1000*4,0))</f>
        <v>0</v>
      </c>
      <c r="D35" s="16">
        <f t="shared" ref="D35:D41" si="2">C35*2</f>
        <v>0</v>
      </c>
      <c r="E35" s="85"/>
      <c r="G35" s="122" t="s">
        <v>45</v>
      </c>
      <c r="H35" s="123"/>
      <c r="I35" s="123"/>
      <c r="J35" s="123"/>
      <c r="K35" s="58">
        <f>B8</f>
        <v>0</v>
      </c>
      <c r="L35" s="59"/>
    </row>
    <row r="36" spans="1:12" ht="27.6">
      <c r="A36" s="18" t="s">
        <v>20</v>
      </c>
      <c r="B36" s="6"/>
      <c r="C36" s="16">
        <f>IF(AND(ROUNDUP(K36/100,0)&gt;0,ROUNDUP(K36/100,0)&lt;2),2,ROUNDUP(K36/100,0))</f>
        <v>0</v>
      </c>
      <c r="D36" s="86" t="s">
        <v>83</v>
      </c>
      <c r="E36" s="85"/>
      <c r="G36" s="122" t="s">
        <v>21</v>
      </c>
      <c r="H36" s="123"/>
      <c r="I36" s="123"/>
      <c r="J36" s="123"/>
      <c r="K36" s="58">
        <f>F21*3+G21+H21</f>
        <v>0</v>
      </c>
      <c r="L36" s="60"/>
    </row>
    <row r="37" spans="1:12">
      <c r="A37" s="18" t="s">
        <v>22</v>
      </c>
      <c r="B37" s="15"/>
      <c r="C37" s="16">
        <f>IF(K37*0.167 + L37*1.5 + L37*0.5 = 0, 0, MAX(2, ROUNDUP(K37*0.167 + L37*1.5 + L37*0.5, 0)))</f>
        <v>0</v>
      </c>
      <c r="D37" s="16">
        <f>IF(K37*0.33 + L37*0.3 + L37*0.3 = 0, 0, MAX(4, ROUNDUP(K37*0.33 + L37*0.3 + L37*0.3, 0)))</f>
        <v>0</v>
      </c>
      <c r="E37" s="85"/>
      <c r="G37" s="155" t="s">
        <v>99</v>
      </c>
      <c r="H37" s="123"/>
      <c r="I37" s="123"/>
      <c r="J37" s="123"/>
      <c r="K37" s="58">
        <f>J8</f>
        <v>0</v>
      </c>
      <c r="L37" s="59">
        <f>J12</f>
        <v>0</v>
      </c>
    </row>
    <row r="38" spans="1:12" ht="16.05" customHeight="1">
      <c r="A38" s="14" t="s">
        <v>23</v>
      </c>
      <c r="B38" s="6"/>
      <c r="C38" s="16">
        <f>IF(AND(ROUNDUP(K38/1000*4,0)+ROUNDUP(L38/24*4,0)&gt;0,ROUNDUP(K38/1000*4,0)+ROUNDUP(L38/24*4,0)&lt;2),2,ROUNDUP(K38/1000*4,0)+ROUNDUP(L38/24*4,0))</f>
        <v>2</v>
      </c>
      <c r="D38" s="16">
        <f t="shared" si="2"/>
        <v>4</v>
      </c>
      <c r="E38" s="87">
        <f>$B$10*6</f>
        <v>0</v>
      </c>
      <c r="G38" s="122" t="s">
        <v>46</v>
      </c>
      <c r="H38" s="123"/>
      <c r="I38" s="123"/>
      <c r="J38" s="123"/>
      <c r="K38" s="58">
        <f>B8*0.25</f>
        <v>0</v>
      </c>
      <c r="L38" s="61">
        <f>D10+H8</f>
        <v>8</v>
      </c>
    </row>
    <row r="39" spans="1:12" ht="15.45" customHeight="1">
      <c r="A39" s="18" t="s">
        <v>24</v>
      </c>
      <c r="B39" s="6"/>
      <c r="C39" s="16">
        <f>IF(AND(ROUNDUP(K39/1000*10,0)&gt;0,ROUNDUP(K39/1000*10,0)&lt;2),2,ROUNDUP(K39/1000*10,0))</f>
        <v>0</v>
      </c>
      <c r="D39" s="16">
        <f>IF(C39 = 0, 0, 8)</f>
        <v>0</v>
      </c>
      <c r="E39" s="87">
        <f>3*F8</f>
        <v>0</v>
      </c>
      <c r="G39" s="155" t="s">
        <v>100</v>
      </c>
      <c r="H39" s="123"/>
      <c r="I39" s="123"/>
      <c r="J39" s="123"/>
      <c r="K39" s="58">
        <f>F8</f>
        <v>0</v>
      </c>
      <c r="L39" s="59"/>
    </row>
    <row r="40" spans="1:12" ht="16.05" customHeight="1">
      <c r="A40" s="19" t="s">
        <v>25</v>
      </c>
      <c r="B40" s="20"/>
      <c r="C40" s="16">
        <f>IF(AND(ROUNDUP(K40*2,0)+ROUNDUP(L40/24*4,0)&gt;0,ROUNDUP(K40*2,0)+ROUNDUP(L40/24*4,0)&lt;2),2,ROUNDUP(K40*2,0)+ROUNDUP(L40/24*4,0))</f>
        <v>3</v>
      </c>
      <c r="D40" s="16">
        <f t="shared" si="2"/>
        <v>6</v>
      </c>
      <c r="E40" s="88"/>
      <c r="G40" s="156" t="s">
        <v>70</v>
      </c>
      <c r="H40" s="123"/>
      <c r="I40" s="123"/>
      <c r="J40" s="123"/>
      <c r="K40" s="58">
        <f>J21</f>
        <v>1</v>
      </c>
      <c r="L40" s="61">
        <f>H8</f>
        <v>6</v>
      </c>
    </row>
    <row r="41" spans="1:12" ht="16.95" customHeight="1">
      <c r="A41" s="19" t="s">
        <v>57</v>
      </c>
      <c r="B41" s="63"/>
      <c r="C41" s="89">
        <f>IF(AND(ROUNDUP(K41/1000,0)&gt;0,ROUNDUP(K41/1000,0)&lt;2),2,ROUNDUP(K41/1000,0))</f>
        <v>0</v>
      </c>
      <c r="D41" s="16">
        <f t="shared" si="2"/>
        <v>0</v>
      </c>
      <c r="E41" s="88"/>
      <c r="G41" s="157" t="s">
        <v>71</v>
      </c>
      <c r="H41" s="158"/>
      <c r="I41" s="158"/>
      <c r="J41" s="159"/>
      <c r="K41" s="64">
        <f>B8</f>
        <v>0</v>
      </c>
      <c r="L41" s="66"/>
    </row>
    <row r="42" spans="1:12">
      <c r="A42" s="26" t="s">
        <v>43</v>
      </c>
      <c r="B42" s="16">
        <v>4</v>
      </c>
      <c r="C42" s="43">
        <v>4</v>
      </c>
      <c r="D42" s="16">
        <v>8</v>
      </c>
      <c r="E42" s="41"/>
      <c r="G42" s="157"/>
      <c r="H42" s="158"/>
      <c r="I42" s="158"/>
      <c r="J42" s="159"/>
      <c r="K42" s="65"/>
      <c r="L42" s="66"/>
    </row>
    <row r="43" spans="1:12" ht="16.95" customHeight="1" thickBot="1">
      <c r="A43" s="22" t="s">
        <v>27</v>
      </c>
      <c r="B43" s="23">
        <v>1</v>
      </c>
      <c r="C43" s="23">
        <v>2</v>
      </c>
      <c r="D43" s="23">
        <v>4</v>
      </c>
      <c r="E43" s="42"/>
      <c r="G43" s="147" t="s">
        <v>72</v>
      </c>
      <c r="H43" s="148"/>
      <c r="I43" s="67"/>
      <c r="J43" s="67"/>
      <c r="K43" s="68"/>
      <c r="L43" s="69"/>
    </row>
    <row r="44" spans="1:12">
      <c r="A44" s="10" t="s">
        <v>34</v>
      </c>
      <c r="B44" s="24">
        <v>1</v>
      </c>
      <c r="C44" s="24">
        <v>4</v>
      </c>
      <c r="D44" s="77">
        <v>8</v>
      </c>
      <c r="E44" s="33"/>
      <c r="G44" s="127" t="s">
        <v>26</v>
      </c>
      <c r="H44" s="128"/>
      <c r="I44" s="128"/>
      <c r="J44" s="128"/>
      <c r="K44" s="128"/>
      <c r="L44" s="129"/>
    </row>
    <row r="45" spans="1:12" ht="16.2" thickBot="1">
      <c r="A45" s="25" t="s">
        <v>36</v>
      </c>
      <c r="B45" s="23">
        <v>1</v>
      </c>
      <c r="C45" s="23">
        <v>4</v>
      </c>
      <c r="D45" s="78">
        <v>8</v>
      </c>
      <c r="E45" s="153" t="s">
        <v>73</v>
      </c>
      <c r="F45" s="154"/>
      <c r="G45" s="47"/>
      <c r="H45" s="48" t="s">
        <v>28</v>
      </c>
      <c r="I45" s="48" t="s">
        <v>29</v>
      </c>
      <c r="J45" s="48" t="s">
        <v>30</v>
      </c>
      <c r="K45" s="48" t="s">
        <v>31</v>
      </c>
      <c r="L45" s="49" t="s">
        <v>32</v>
      </c>
    </row>
    <row r="46" spans="1:12">
      <c r="A46" s="10" t="s">
        <v>37</v>
      </c>
      <c r="B46" s="24">
        <v>1</v>
      </c>
      <c r="C46" s="24">
        <f>$H$46*$H$47+$I$46*$I$47+$J$46*$J$47+$K$46*$K$47+$L$46*$L$47</f>
        <v>16</v>
      </c>
      <c r="D46" s="77">
        <f>$H$46*$H$48+$I$46*$I$48+$J$46*$J$48+$K$46*$K$48+$L$46*$L$48</f>
        <v>32</v>
      </c>
      <c r="E46" s="149" t="s">
        <v>38</v>
      </c>
      <c r="F46" s="150"/>
      <c r="G46" s="47" t="s">
        <v>33</v>
      </c>
      <c r="H46" s="44">
        <v>1</v>
      </c>
      <c r="I46" s="48">
        <v>1</v>
      </c>
      <c r="J46" s="48">
        <v>1</v>
      </c>
      <c r="K46" s="48">
        <v>1</v>
      </c>
      <c r="L46" s="49">
        <v>1</v>
      </c>
    </row>
    <row r="47" spans="1:12">
      <c r="A47" s="14" t="s">
        <v>85</v>
      </c>
      <c r="B47" s="16">
        <v>1</v>
      </c>
      <c r="C47" s="16">
        <f>$H$46*$H$47+$I$46*$I$47+$J$46*$J$47+$K$46*$K$47+$L$46*$L$47</f>
        <v>16</v>
      </c>
      <c r="D47" s="28">
        <f>$H$46*$H$48+$I$46*$I$48+$J$46*$J$48+$K$46*$K$48+$L$46*$L$48</f>
        <v>32</v>
      </c>
      <c r="E47" s="149" t="s">
        <v>38</v>
      </c>
      <c r="F47" s="150"/>
      <c r="G47" s="50" t="s">
        <v>17</v>
      </c>
      <c r="H47" s="48">
        <v>4</v>
      </c>
      <c r="I47" s="48">
        <v>4</v>
      </c>
      <c r="J47" s="48">
        <v>4</v>
      </c>
      <c r="K47" s="48">
        <v>2</v>
      </c>
      <c r="L47" s="49">
        <v>2</v>
      </c>
    </row>
    <row r="48" spans="1:12" ht="16.2" customHeight="1" thickBot="1">
      <c r="A48" s="14" t="s">
        <v>86</v>
      </c>
      <c r="B48" s="16">
        <v>1</v>
      </c>
      <c r="C48" s="16">
        <f>$H$46*$H$47+$I$46*$I$47+$J$46*$J$47+$K$46*$K$47+$L$46*$L$47</f>
        <v>16</v>
      </c>
      <c r="D48" s="28">
        <f>$H$46*$H$48+$I$46*$I$48+$J$46*$J$48+$K$46*$K$48+$L$46*$L$48</f>
        <v>32</v>
      </c>
      <c r="E48" s="149" t="s">
        <v>38</v>
      </c>
      <c r="F48" s="150"/>
      <c r="G48" s="51" t="s">
        <v>35</v>
      </c>
      <c r="H48" s="52">
        <v>8</v>
      </c>
      <c r="I48" s="52">
        <v>8</v>
      </c>
      <c r="J48" s="52">
        <v>8</v>
      </c>
      <c r="K48" s="52">
        <v>4</v>
      </c>
      <c r="L48" s="53">
        <v>4</v>
      </c>
    </row>
    <row r="49" spans="1:12" ht="14.55" customHeight="1" thickBot="1">
      <c r="A49" s="25" t="s">
        <v>87</v>
      </c>
      <c r="B49" s="23">
        <f t="shared" ref="B49" si="3">2*1</f>
        <v>2</v>
      </c>
      <c r="C49" s="23">
        <f>$H$46*$H$47</f>
        <v>4</v>
      </c>
      <c r="D49" s="78">
        <f>$H$46*$H$48</f>
        <v>8</v>
      </c>
      <c r="E49" s="46" t="s">
        <v>40</v>
      </c>
      <c r="G49" s="144" t="s">
        <v>69</v>
      </c>
      <c r="H49" s="145"/>
      <c r="I49" s="145"/>
      <c r="J49" s="145"/>
      <c r="K49" s="145"/>
      <c r="L49" s="146"/>
    </row>
    <row r="50" spans="1:12" ht="16.2" thickBot="1">
      <c r="G50" s="124" t="s">
        <v>44</v>
      </c>
      <c r="H50" s="125"/>
      <c r="I50" s="125"/>
      <c r="J50" s="125"/>
      <c r="K50" s="125"/>
      <c r="L50" s="126"/>
    </row>
    <row r="51" spans="1:12" ht="16.2" thickBot="1"/>
    <row r="52" spans="1:12">
      <c r="A52" s="135" t="s">
        <v>81</v>
      </c>
      <c r="B52" s="136"/>
      <c r="C52" s="136"/>
      <c r="D52" s="136"/>
      <c r="E52" s="136"/>
      <c r="F52" s="137"/>
    </row>
    <row r="53" spans="1:12" ht="16.2" thickBot="1">
      <c r="A53" s="138"/>
      <c r="B53" s="139"/>
      <c r="C53" s="139"/>
      <c r="D53" s="139"/>
      <c r="E53" s="139"/>
      <c r="F53" s="140"/>
    </row>
    <row r="54" spans="1:12" ht="99" customHeight="1">
      <c r="A54" s="32" t="s">
        <v>67</v>
      </c>
      <c r="B54" s="29" t="s">
        <v>61</v>
      </c>
      <c r="C54" s="11" t="s">
        <v>76</v>
      </c>
      <c r="D54" s="11" t="s">
        <v>74</v>
      </c>
      <c r="E54" s="11" t="s">
        <v>65</v>
      </c>
      <c r="F54" s="12" t="s">
        <v>62</v>
      </c>
      <c r="H54" s="72" t="s">
        <v>78</v>
      </c>
      <c r="I54" s="72" t="s">
        <v>79</v>
      </c>
    </row>
    <row r="55" spans="1:12">
      <c r="A55" s="14" t="s">
        <v>18</v>
      </c>
      <c r="B55" s="44">
        <v>2</v>
      </c>
      <c r="C55" s="71">
        <v>2</v>
      </c>
      <c r="D55" s="71">
        <v>4</v>
      </c>
      <c r="E55" s="16">
        <v>50</v>
      </c>
      <c r="F55" s="17"/>
      <c r="H55" s="6" t="str">
        <f t="shared" ref="H55:H69" si="4">IF(B55*C55&lt;C34, "добавьте cpu", "верно")</f>
        <v>верно</v>
      </c>
      <c r="I55" s="6" t="str">
        <f t="shared" ref="I55:I69" si="5">IF(B55*D55&lt;D34, "добавьте RAM", "верно")</f>
        <v>верно</v>
      </c>
    </row>
    <row r="56" spans="1:12">
      <c r="A56" s="18" t="s">
        <v>19</v>
      </c>
      <c r="B56" s="44">
        <v>2</v>
      </c>
      <c r="C56" s="71">
        <v>2</v>
      </c>
      <c r="D56" s="71">
        <v>4</v>
      </c>
      <c r="E56" s="16">
        <v>50</v>
      </c>
      <c r="F56" s="17"/>
      <c r="H56" s="6" t="str">
        <f t="shared" si="4"/>
        <v>верно</v>
      </c>
      <c r="I56" s="6" t="str">
        <f t="shared" si="5"/>
        <v>верно</v>
      </c>
    </row>
    <row r="57" spans="1:12">
      <c r="A57" s="18" t="s">
        <v>20</v>
      </c>
      <c r="B57" s="44">
        <v>2</v>
      </c>
      <c r="C57" s="71">
        <v>2</v>
      </c>
      <c r="D57" s="71">
        <v>4</v>
      </c>
      <c r="E57" s="16">
        <v>50</v>
      </c>
      <c r="F57" s="17"/>
      <c r="H57" s="6" t="str">
        <f t="shared" si="4"/>
        <v>верно</v>
      </c>
      <c r="I57" s="6" t="str">
        <f>"верно"</f>
        <v>верно</v>
      </c>
    </row>
    <row r="58" spans="1:12">
      <c r="A58" s="18" t="s">
        <v>22</v>
      </c>
      <c r="B58" s="44">
        <v>2</v>
      </c>
      <c r="C58" s="71">
        <v>2</v>
      </c>
      <c r="D58" s="71">
        <v>4</v>
      </c>
      <c r="E58" s="16">
        <v>50</v>
      </c>
      <c r="F58" s="17"/>
      <c r="H58" s="6" t="str">
        <f t="shared" si="4"/>
        <v>верно</v>
      </c>
      <c r="I58" s="6" t="str">
        <f t="shared" si="5"/>
        <v>верно</v>
      </c>
    </row>
    <row r="59" spans="1:12">
      <c r="A59" s="14" t="s">
        <v>23</v>
      </c>
      <c r="B59" s="44">
        <v>2</v>
      </c>
      <c r="C59" s="71">
        <v>2</v>
      </c>
      <c r="D59" s="71">
        <v>4</v>
      </c>
      <c r="E59" s="16">
        <v>100</v>
      </c>
      <c r="F59" s="17">
        <f>$B$10*6</f>
        <v>0</v>
      </c>
      <c r="H59" s="6" t="str">
        <f t="shared" si="4"/>
        <v>верно</v>
      </c>
      <c r="I59" s="6" t="str">
        <f t="shared" si="5"/>
        <v>верно</v>
      </c>
    </row>
    <row r="60" spans="1:12">
      <c r="A60" s="18" t="s">
        <v>24</v>
      </c>
      <c r="B60" s="44">
        <v>2</v>
      </c>
      <c r="C60" s="71">
        <v>2</v>
      </c>
      <c r="D60" s="71">
        <v>4</v>
      </c>
      <c r="E60" s="16">
        <v>50</v>
      </c>
      <c r="F60" s="17">
        <f>3*F8</f>
        <v>0</v>
      </c>
      <c r="H60" s="6" t="str">
        <f t="shared" si="4"/>
        <v>верно</v>
      </c>
      <c r="I60" s="6" t="str">
        <f t="shared" si="5"/>
        <v>верно</v>
      </c>
    </row>
    <row r="61" spans="1:12">
      <c r="A61" s="19" t="s">
        <v>25</v>
      </c>
      <c r="B61" s="44">
        <v>2</v>
      </c>
      <c r="C61" s="71">
        <v>2</v>
      </c>
      <c r="D61" s="71">
        <v>4</v>
      </c>
      <c r="E61" s="16">
        <v>100</v>
      </c>
      <c r="F61" s="21"/>
      <c r="H61" s="6" t="str">
        <f t="shared" si="4"/>
        <v>верно</v>
      </c>
      <c r="I61" s="6" t="str">
        <f t="shared" si="5"/>
        <v>верно</v>
      </c>
    </row>
    <row r="62" spans="1:12">
      <c r="A62" s="19" t="s">
        <v>57</v>
      </c>
      <c r="B62" s="44">
        <v>2</v>
      </c>
      <c r="C62" s="71">
        <v>2</v>
      </c>
      <c r="D62" s="71">
        <v>4</v>
      </c>
      <c r="E62" s="16">
        <v>50</v>
      </c>
      <c r="F62" s="21"/>
      <c r="H62" s="6" t="str">
        <f t="shared" si="4"/>
        <v>верно</v>
      </c>
      <c r="I62" s="6" t="str">
        <f t="shared" si="5"/>
        <v>верно</v>
      </c>
    </row>
    <row r="63" spans="1:12">
      <c r="A63" s="26" t="s">
        <v>43</v>
      </c>
      <c r="B63" s="16">
        <v>4</v>
      </c>
      <c r="C63" s="43">
        <v>4</v>
      </c>
      <c r="D63" s="16">
        <v>8</v>
      </c>
      <c r="E63" s="16">
        <v>50</v>
      </c>
      <c r="F63" s="41"/>
      <c r="H63" s="6" t="str">
        <f t="shared" si="4"/>
        <v>верно</v>
      </c>
      <c r="I63" s="6" t="str">
        <f t="shared" si="5"/>
        <v>верно</v>
      </c>
    </row>
    <row r="64" spans="1:12">
      <c r="A64" s="18" t="s">
        <v>27</v>
      </c>
      <c r="B64" s="16">
        <v>1</v>
      </c>
      <c r="C64" s="16">
        <v>2</v>
      </c>
      <c r="D64" s="16">
        <v>4</v>
      </c>
      <c r="E64" s="16">
        <v>200</v>
      </c>
      <c r="F64" s="41"/>
      <c r="H64" s="6" t="str">
        <f t="shared" si="4"/>
        <v>верно</v>
      </c>
      <c r="I64" s="6" t="str">
        <f t="shared" si="5"/>
        <v>верно</v>
      </c>
    </row>
    <row r="65" spans="1:9">
      <c r="A65" s="14" t="s">
        <v>34</v>
      </c>
      <c r="B65" s="16">
        <v>1</v>
      </c>
      <c r="C65" s="16">
        <v>4</v>
      </c>
      <c r="D65" s="16">
        <v>8</v>
      </c>
      <c r="E65" s="30">
        <f>50+ROUNDUP(B8*0.015625*B12, 0)</f>
        <v>50</v>
      </c>
      <c r="F65" s="13"/>
      <c r="H65" s="6" t="str">
        <f t="shared" si="4"/>
        <v>верно</v>
      </c>
      <c r="I65" s="6" t="str">
        <f t="shared" si="5"/>
        <v>верно</v>
      </c>
    </row>
    <row r="66" spans="1:9">
      <c r="A66" s="14" t="s">
        <v>36</v>
      </c>
      <c r="B66" s="16">
        <v>1</v>
      </c>
      <c r="C66" s="16">
        <v>4</v>
      </c>
      <c r="D66" s="16">
        <v>8</v>
      </c>
      <c r="E66" s="30">
        <f>50+(0.6*B12)</f>
        <v>54.2</v>
      </c>
      <c r="F66" s="13"/>
      <c r="H66" s="6" t="str">
        <f t="shared" si="4"/>
        <v>верно</v>
      </c>
      <c r="I66" s="6" t="str">
        <f t="shared" si="5"/>
        <v>верно</v>
      </c>
    </row>
    <row r="67" spans="1:9">
      <c r="A67" s="14" t="s">
        <v>37</v>
      </c>
      <c r="B67" s="16">
        <v>1</v>
      </c>
      <c r="C67" s="16">
        <f>$H$46*$H$47+$I$46*$I$47+$J$46*$J$47+$K$46*$K$47+$L$46*$L$47</f>
        <v>16</v>
      </c>
      <c r="D67" s="16">
        <f>$H$46*$H$48+$I$46*$I$48+$J$46*$J$48+$K$46*$K$48+$L$46*$L$48</f>
        <v>32</v>
      </c>
      <c r="E67" s="30">
        <f>100+(0.15*$B$8/365*$J$10)+((0.25*$B$8/365*$H$10)+($H$8*$F$10)+($D$10*$F$10))/2</f>
        <v>220</v>
      </c>
      <c r="F67" s="13"/>
      <c r="H67" s="6" t="str">
        <f t="shared" si="4"/>
        <v>верно</v>
      </c>
      <c r="I67" s="6" t="str">
        <f t="shared" si="5"/>
        <v>верно</v>
      </c>
    </row>
    <row r="68" spans="1:9">
      <c r="A68" s="14" t="s">
        <v>85</v>
      </c>
      <c r="B68" s="16">
        <v>1</v>
      </c>
      <c r="C68" s="16">
        <f>$H$46*$H$47+$I$46*$I$47+$J$46*$J$47+$K$46*$K$47+$L$46*$L$47</f>
        <v>16</v>
      </c>
      <c r="D68" s="16">
        <f>$H$46*$H$48+$I$46*$I$48+$J$46*$J$48+$K$46*$K$48+$L$46*$L$48</f>
        <v>32</v>
      </c>
      <c r="E68" s="30">
        <f>100+(0.15*$B$8/365*$J$10)+((0.25*$B$8/365*$H$10)+($H$8*$F$10)+($D$10*$F$10))/2</f>
        <v>220</v>
      </c>
      <c r="F68" s="13"/>
      <c r="H68" s="6" t="str">
        <f t="shared" si="4"/>
        <v>верно</v>
      </c>
      <c r="I68" s="6" t="str">
        <f t="shared" si="5"/>
        <v>верно</v>
      </c>
    </row>
    <row r="69" spans="1:9" ht="16.2" thickBot="1">
      <c r="A69" s="14" t="s">
        <v>86</v>
      </c>
      <c r="B69" s="16">
        <v>1</v>
      </c>
      <c r="C69" s="16">
        <f>$H$46*$H$47+$I$46*$I$47+$J$46*$J$47+$K$46*$K$47+$L$46*$L$47</f>
        <v>16</v>
      </c>
      <c r="D69" s="16">
        <f>$H$46*$H$48+$I$46*$I$48+$J$46*$J$48+$K$46*$K$48+$L$46*$L$48</f>
        <v>32</v>
      </c>
      <c r="E69" s="30">
        <f>100+(0.15*$B$8/365*$J$10)+((0.25*$B$8/365*$H$10)+($H$8*$F$10)+($D$10*$F$10))/2</f>
        <v>220</v>
      </c>
      <c r="F69" s="70"/>
      <c r="H69" s="6" t="str">
        <f t="shared" si="4"/>
        <v>верно</v>
      </c>
      <c r="I69" s="6" t="str">
        <f t="shared" si="5"/>
        <v>верно</v>
      </c>
    </row>
    <row r="70" spans="1:9" ht="16.2" thickBot="1">
      <c r="A70" s="14" t="s">
        <v>87</v>
      </c>
      <c r="B70" s="16">
        <v>1</v>
      </c>
      <c r="C70" s="16">
        <f>$H$46*$H$47</f>
        <v>4</v>
      </c>
      <c r="D70" s="16">
        <f>$H$46*$H$48</f>
        <v>8</v>
      </c>
      <c r="E70" s="30">
        <f>100+((0.25*$B$8/365*$H$10)+($H$8*$F$10)+($D$10*$F$10))/2</f>
        <v>220</v>
      </c>
      <c r="F70" s="13"/>
      <c r="H70" s="6" t="str">
        <f t="shared" ref="H70" si="6">IF(B70*C70&lt;C49, "добавьте cpu", "верно")</f>
        <v>верно</v>
      </c>
      <c r="I70" s="6" t="str">
        <f t="shared" ref="I70" si="7">IF(B70*D70&lt;D49, "добавьте RAM", "верно")</f>
        <v>верно</v>
      </c>
    </row>
    <row r="71" spans="1:9" ht="16.2" thickBot="1">
      <c r="A71" s="73" t="s">
        <v>77</v>
      </c>
      <c r="B71" s="74">
        <f>SUM(B55:B70)</f>
        <v>27</v>
      </c>
      <c r="C71" s="74">
        <f>SUMPRODUCT(B55:B70,C55:C70)</f>
        <v>110</v>
      </c>
      <c r="D71" s="74">
        <f>SUMPRODUCT(B55:B70,D55:D70)</f>
        <v>220</v>
      </c>
      <c r="E71" s="74">
        <f>SUMPRODUCT(B55:B70,E55:E70)</f>
        <v>2384.1999999999998</v>
      </c>
      <c r="F71" s="75"/>
    </row>
  </sheetData>
  <mergeCells count="27">
    <mergeCell ref="A52:F53"/>
    <mergeCell ref="E47:F47"/>
    <mergeCell ref="A4:J4"/>
    <mergeCell ref="A5:J5"/>
    <mergeCell ref="G44:L44"/>
    <mergeCell ref="E45:F45"/>
    <mergeCell ref="E46:F46"/>
    <mergeCell ref="E48:F48"/>
    <mergeCell ref="G49:L49"/>
    <mergeCell ref="G50:L50"/>
    <mergeCell ref="G37:J37"/>
    <mergeCell ref="G38:J38"/>
    <mergeCell ref="G39:J39"/>
    <mergeCell ref="G40:J40"/>
    <mergeCell ref="G41:J42"/>
    <mergeCell ref="G43:H43"/>
    <mergeCell ref="A28:E31"/>
    <mergeCell ref="G33:J33"/>
    <mergeCell ref="G34:J34"/>
    <mergeCell ref="G35:J35"/>
    <mergeCell ref="G36:J36"/>
    <mergeCell ref="K15:K21"/>
    <mergeCell ref="F22:J24"/>
    <mergeCell ref="A26:E26"/>
    <mergeCell ref="A1:E1"/>
    <mergeCell ref="A3:J3"/>
    <mergeCell ref="A14:I14"/>
  </mergeCells>
  <conditionalFormatting sqref="H55:I70">
    <cfRule type="containsText" dxfId="1" priority="1" operator="containsText" text="добавьте">
      <formula>NOT(ISERROR(SEARCH("добавьте",H55)))</formula>
    </cfRule>
  </conditionalFormatting>
  <dataValidations count="6">
    <dataValidation type="list" allowBlank="1" showInputMessage="1" showErrorMessage="1" sqref="H46:L46" xr:uid="{1F3924E0-E7C6-4116-AE90-3D20071C54A8}">
      <formula1>"1,0"</formula1>
    </dataValidation>
    <dataValidation type="whole" allowBlank="1" showInputMessage="1" showErrorMessage="1" errorTitle="Укажите правильное значение RAM" error="Для каждого сервера MEDIA необходимо не менее 4Гб и не более 8Гб RAM независимо от количества пользователей." prompt="Для каждого сервера MEDIA необходимо не менее 4Гб и не более 8Гб RAM независимо от количества пользователей." sqref="D57" xr:uid="{A5CD50A7-2B85-4A6B-B3DB-474D01594BF5}">
      <formula1>4</formula1>
      <formula2>8</formula2>
    </dataValidation>
    <dataValidation allowBlank="1" sqref="E65" xr:uid="{4392151B-BDAB-454A-AF51-05CC3F9BCBD3}"/>
    <dataValidation type="whole" operator="notBetween" allowBlank="1" showErrorMessage="1" error="Используйте не менее 2 ядер" sqref="C55:C62" xr:uid="{890EFE8E-3487-48D4-BF77-BB18C339CDAA}">
      <formula1>1</formula1>
      <formula2>1</formula2>
    </dataValidation>
    <dataValidation type="whole" operator="notBetween" allowBlank="1" showErrorMessage="1" error="Сервер данного типа не может быть 1" sqref="B55:B62" xr:uid="{1D74FA2F-4A20-43AC-A8B8-7DCE98BD7B85}">
      <formula1>1</formula1>
      <formula2>1</formula2>
    </dataValidation>
    <dataValidation type="whole" operator="lessThanOrEqual" allowBlank="1" showInputMessage="1" showErrorMessage="1" errorTitle="Некорректное значение" error="Количество SIP видеовызовов не должно превышать количество SIP подключений (ячейка J8)." sqref="J12" xr:uid="{452A845B-E5D0-4C86-B3A7-E20959E3CFB2}">
      <formula1>J8</formula1>
    </dataValidation>
  </dataValidations>
  <pageMargins left="0.7" right="0.7" top="0.75" bottom="0.75" header="0.3" footer="0.3"/>
  <pageSetup paperSize="9" orientation="portrait"/>
  <ignoredErrors>
    <ignoredError sqref="D39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FCF200-FFDC-442B-A856-6FE08EB71D28}">
  <dimension ref="A1:L45"/>
  <sheetViews>
    <sheetView topLeftCell="A19" zoomScale="70" zoomScaleNormal="70" workbookViewId="0">
      <selection activeCell="D41" sqref="D41"/>
    </sheetView>
  </sheetViews>
  <sheetFormatPr defaultColWidth="11" defaultRowHeight="15.6"/>
  <cols>
    <col min="1" max="1" width="17" customWidth="1"/>
    <col min="2" max="2" width="14.19921875" customWidth="1"/>
    <col min="3" max="3" width="17.296875" customWidth="1"/>
    <col min="4" max="4" width="14.19921875" customWidth="1"/>
    <col min="5" max="5" width="15.296875" customWidth="1"/>
    <col min="6" max="6" width="13.19921875" customWidth="1"/>
    <col min="7" max="7" width="19.19921875" customWidth="1"/>
    <col min="8" max="8" width="21" customWidth="1"/>
    <col min="9" max="9" width="21.69921875" customWidth="1"/>
    <col min="10" max="10" width="20.5" customWidth="1"/>
    <col min="11" max="11" width="27.5" customWidth="1"/>
    <col min="12" max="12" width="25.296875" customWidth="1"/>
    <col min="13" max="13" width="23.19921875" customWidth="1"/>
    <col min="14" max="14" width="14.69921875" customWidth="1"/>
    <col min="15" max="15" width="18" customWidth="1"/>
    <col min="16" max="16" width="21.69921875" customWidth="1"/>
    <col min="17" max="17" width="31" customWidth="1"/>
    <col min="21" max="21" width="53.19921875" customWidth="1"/>
  </cols>
  <sheetData>
    <row r="1" spans="1:11">
      <c r="A1" s="117" t="s">
        <v>102</v>
      </c>
      <c r="B1" s="117"/>
      <c r="C1" s="117"/>
      <c r="D1" s="117"/>
      <c r="E1" s="117"/>
    </row>
    <row r="2" spans="1:11">
      <c r="A2" s="56"/>
      <c r="B2" s="56"/>
      <c r="C2" s="56"/>
      <c r="D2" s="56"/>
      <c r="E2" s="56"/>
    </row>
    <row r="3" spans="1:11" ht="18">
      <c r="A3" s="130" t="s">
        <v>94</v>
      </c>
      <c r="B3" s="130"/>
      <c r="C3" s="130"/>
      <c r="D3" s="130"/>
      <c r="E3" s="130"/>
      <c r="F3" s="130"/>
      <c r="G3" s="130"/>
      <c r="H3" s="130"/>
      <c r="I3" s="130"/>
      <c r="J3" s="130"/>
    </row>
    <row r="4" spans="1:11" ht="34.200000000000003" customHeight="1">
      <c r="A4" s="134" t="s">
        <v>93</v>
      </c>
      <c r="B4" s="134"/>
      <c r="C4" s="134"/>
      <c r="D4" s="134"/>
      <c r="E4" s="134"/>
      <c r="F4" s="134"/>
      <c r="G4" s="134"/>
      <c r="H4" s="134"/>
      <c r="I4" s="134"/>
      <c r="J4" s="134"/>
    </row>
    <row r="5" spans="1:11" ht="18">
      <c r="A5" s="133" t="s">
        <v>95</v>
      </c>
      <c r="B5" s="133"/>
      <c r="C5" s="133"/>
      <c r="D5" s="133"/>
      <c r="E5" s="133"/>
      <c r="F5" s="133"/>
      <c r="G5" s="133"/>
      <c r="H5" s="133"/>
      <c r="I5" s="133"/>
      <c r="J5" s="133"/>
    </row>
    <row r="6" spans="1:11" ht="18">
      <c r="A6" s="160" t="s">
        <v>91</v>
      </c>
      <c r="B6" s="160"/>
      <c r="C6" s="160"/>
      <c r="D6" s="160"/>
      <c r="E6" s="160"/>
      <c r="F6" s="160"/>
      <c r="G6" s="160"/>
      <c r="H6" s="160"/>
      <c r="I6" s="160"/>
      <c r="J6" s="160"/>
    </row>
    <row r="8" spans="1:11" ht="16.2" thickBot="1">
      <c r="I8" s="1"/>
      <c r="J8" s="1"/>
      <c r="K8" s="2"/>
    </row>
    <row r="9" spans="1:11" ht="171.6">
      <c r="A9" s="91" t="s">
        <v>4</v>
      </c>
      <c r="B9" s="92">
        <v>0</v>
      </c>
      <c r="C9" s="93" t="s">
        <v>0</v>
      </c>
      <c r="D9" s="94">
        <f>B9*0.3</f>
        <v>0</v>
      </c>
      <c r="E9" s="54" t="s">
        <v>1</v>
      </c>
      <c r="F9" s="94">
        <f>D9*0.1</f>
        <v>0</v>
      </c>
      <c r="G9" s="95" t="s">
        <v>96</v>
      </c>
      <c r="H9" s="94">
        <f>J22*6</f>
        <v>6</v>
      </c>
      <c r="I9" s="55" t="s">
        <v>98</v>
      </c>
      <c r="J9" s="96">
        <v>0</v>
      </c>
    </row>
    <row r="10" spans="1:11">
      <c r="A10" s="97"/>
      <c r="B10" s="98"/>
      <c r="C10" s="98"/>
      <c r="D10" s="98"/>
      <c r="E10" s="98"/>
      <c r="F10" s="98"/>
      <c r="G10" s="98"/>
      <c r="H10" s="98"/>
      <c r="I10" s="98"/>
      <c r="J10" s="99"/>
    </row>
    <row r="11" spans="1:11" ht="93.6">
      <c r="A11" s="100" t="s">
        <v>2</v>
      </c>
      <c r="B11" s="101">
        <f>B9*0.02</f>
        <v>0</v>
      </c>
      <c r="C11" s="102" t="s">
        <v>3</v>
      </c>
      <c r="D11" s="103">
        <v>2</v>
      </c>
      <c r="E11" s="27" t="s">
        <v>54</v>
      </c>
      <c r="F11" s="104">
        <v>30</v>
      </c>
      <c r="G11" s="27" t="s">
        <v>55</v>
      </c>
      <c r="H11" s="105">
        <v>365</v>
      </c>
      <c r="I11" s="27" t="s">
        <v>56</v>
      </c>
      <c r="J11" s="106">
        <v>365</v>
      </c>
      <c r="K11" s="2"/>
    </row>
    <row r="12" spans="1:11">
      <c r="A12" s="97"/>
      <c r="B12" s="98"/>
      <c r="C12" s="98"/>
      <c r="D12" s="98"/>
      <c r="E12" s="98"/>
      <c r="F12" s="98"/>
      <c r="G12" s="98"/>
      <c r="H12" s="98"/>
      <c r="I12" s="98"/>
      <c r="J12" s="99"/>
    </row>
    <row r="13" spans="1:11" ht="63" thickBot="1">
      <c r="A13" s="107" t="s">
        <v>84</v>
      </c>
      <c r="B13" s="108">
        <v>7</v>
      </c>
      <c r="C13" s="109"/>
      <c r="D13" s="109"/>
      <c r="E13" s="109"/>
      <c r="F13" s="109"/>
      <c r="G13" s="109"/>
      <c r="H13" s="109"/>
      <c r="I13" s="115" t="s">
        <v>97</v>
      </c>
      <c r="J13" s="116">
        <v>0</v>
      </c>
    </row>
    <row r="14" spans="1:11" ht="16.2" thickBot="1"/>
    <row r="15" spans="1:11" ht="16.05" customHeight="1">
      <c r="A15" s="118" t="s">
        <v>63</v>
      </c>
      <c r="B15" s="119"/>
      <c r="C15" s="119"/>
      <c r="D15" s="119"/>
      <c r="E15" s="119"/>
      <c r="F15" s="119"/>
      <c r="G15" s="119"/>
      <c r="H15" s="119"/>
      <c r="I15" s="119"/>
      <c r="J15" s="34"/>
      <c r="K15" s="2"/>
    </row>
    <row r="16" spans="1:11" ht="204" customHeight="1">
      <c r="A16" s="18" t="s">
        <v>5</v>
      </c>
      <c r="B16" s="5" t="s">
        <v>6</v>
      </c>
      <c r="C16" s="5" t="s">
        <v>7</v>
      </c>
      <c r="D16" s="5" t="s">
        <v>8</v>
      </c>
      <c r="E16" s="5" t="s">
        <v>51</v>
      </c>
      <c r="F16" s="5" t="s">
        <v>9</v>
      </c>
      <c r="G16" s="5" t="s">
        <v>50</v>
      </c>
      <c r="H16" s="5" t="s">
        <v>52</v>
      </c>
      <c r="I16" s="5" t="s">
        <v>10</v>
      </c>
      <c r="J16" s="35" t="s">
        <v>53</v>
      </c>
      <c r="K16" s="120" t="s">
        <v>47</v>
      </c>
    </row>
    <row r="17" spans="1:12">
      <c r="A17" s="36" t="s">
        <v>11</v>
      </c>
      <c r="B17" s="7">
        <v>40</v>
      </c>
      <c r="C17" s="8">
        <f>$D$9*B17/100</f>
        <v>0</v>
      </c>
      <c r="D17" s="9">
        <v>2</v>
      </c>
      <c r="E17" s="9">
        <v>2</v>
      </c>
      <c r="F17" s="8">
        <f t="shared" ref="F17:F19" si="0">ROUNDUP(C17/D17*E17,0)</f>
        <v>0</v>
      </c>
      <c r="G17" s="9">
        <v>10</v>
      </c>
      <c r="H17" s="9">
        <v>60</v>
      </c>
      <c r="I17" s="8">
        <f t="shared" ref="I17:I19" si="1">ROUNDUP(C17/D17,0)</f>
        <v>0</v>
      </c>
      <c r="J17" s="37">
        <v>1</v>
      </c>
      <c r="K17" s="121"/>
    </row>
    <row r="18" spans="1:12">
      <c r="A18" s="36" t="s">
        <v>12</v>
      </c>
      <c r="B18" s="7">
        <v>32</v>
      </c>
      <c r="C18" s="8">
        <f>$D$9*B18/100</f>
        <v>0</v>
      </c>
      <c r="D18" s="9">
        <v>4</v>
      </c>
      <c r="E18" s="9">
        <v>3</v>
      </c>
      <c r="F18" s="8">
        <f t="shared" si="0"/>
        <v>0</v>
      </c>
      <c r="G18" s="9">
        <v>10</v>
      </c>
      <c r="H18" s="9">
        <v>60</v>
      </c>
      <c r="I18" s="8">
        <f t="shared" si="1"/>
        <v>0</v>
      </c>
      <c r="J18" s="37">
        <v>2</v>
      </c>
      <c r="K18" s="121"/>
    </row>
    <row r="19" spans="1:12">
      <c r="A19" s="36" t="s">
        <v>13</v>
      </c>
      <c r="B19" s="7">
        <v>16</v>
      </c>
      <c r="C19" s="8">
        <f>$D$9*B19/100</f>
        <v>0</v>
      </c>
      <c r="D19" s="9">
        <v>8</v>
      </c>
      <c r="E19" s="9">
        <v>4</v>
      </c>
      <c r="F19" s="8">
        <f t="shared" si="0"/>
        <v>0</v>
      </c>
      <c r="G19" s="9">
        <v>10</v>
      </c>
      <c r="H19" s="9">
        <v>60</v>
      </c>
      <c r="I19" s="8">
        <f t="shared" si="1"/>
        <v>0</v>
      </c>
      <c r="J19" s="37">
        <v>3</v>
      </c>
      <c r="K19" s="121"/>
    </row>
    <row r="20" spans="1:12">
      <c r="A20" s="36" t="s">
        <v>14</v>
      </c>
      <c r="B20" s="7">
        <v>10</v>
      </c>
      <c r="C20" s="8">
        <f>$D$9*B20/100</f>
        <v>0</v>
      </c>
      <c r="D20" s="9">
        <v>20</v>
      </c>
      <c r="E20" s="9">
        <v>4</v>
      </c>
      <c r="F20" s="8">
        <f>ROUNDUP(C20/D20*E20,0)</f>
        <v>0</v>
      </c>
      <c r="G20" s="9">
        <v>10</v>
      </c>
      <c r="H20" s="9">
        <v>60</v>
      </c>
      <c r="I20" s="8">
        <f>ROUNDUP(C20/D20,0)</f>
        <v>0</v>
      </c>
      <c r="J20" s="37">
        <v>5</v>
      </c>
      <c r="K20" s="121"/>
    </row>
    <row r="21" spans="1:12">
      <c r="A21" s="36" t="s">
        <v>15</v>
      </c>
      <c r="B21" s="7">
        <v>2</v>
      </c>
      <c r="C21" s="8">
        <f>$D$9*B21/100</f>
        <v>0</v>
      </c>
      <c r="D21" s="9">
        <v>50</v>
      </c>
      <c r="E21" s="9">
        <v>3</v>
      </c>
      <c r="F21" s="8">
        <f>ROUNDUP(C21/D21*E21,0)</f>
        <v>0</v>
      </c>
      <c r="G21" s="9">
        <v>10</v>
      </c>
      <c r="H21" s="9">
        <v>70</v>
      </c>
      <c r="I21" s="8">
        <f>ROUNDUP(C21/D21,0)</f>
        <v>0</v>
      </c>
      <c r="J21" s="37">
        <v>7</v>
      </c>
      <c r="K21" s="121"/>
    </row>
    <row r="22" spans="1:12" ht="16.2" thickBot="1">
      <c r="A22" s="38" t="s">
        <v>16</v>
      </c>
      <c r="B22" s="39">
        <f>SUM(B17:B21)</f>
        <v>100</v>
      </c>
      <c r="C22" s="39">
        <f>SUM(C17:C21)</f>
        <v>0</v>
      </c>
      <c r="D22" s="40"/>
      <c r="E22" s="40"/>
      <c r="F22" s="39">
        <f>SUM(F17:F21)</f>
        <v>0</v>
      </c>
      <c r="G22" s="39">
        <f>ROUNDUP(C17*G17/100+C18*G18/100+C19*G19/100+C20*G20/100+C21*G21/100,0)</f>
        <v>0</v>
      </c>
      <c r="H22" s="39">
        <f>ROUNDUP(C17*H17/100+C18*H18/100+C19*H19/100+C20*H20/100,0)</f>
        <v>0</v>
      </c>
      <c r="I22" s="39">
        <f>SUM(I17:I21)</f>
        <v>0</v>
      </c>
      <c r="J22" s="114">
        <v>1</v>
      </c>
      <c r="K22" s="121"/>
    </row>
    <row r="23" spans="1:12" ht="16.05" customHeight="1">
      <c r="A23" s="3"/>
      <c r="F23" s="131" t="s">
        <v>49</v>
      </c>
      <c r="G23" s="131"/>
      <c r="H23" s="131"/>
      <c r="I23" s="131"/>
      <c r="J23" s="131"/>
    </row>
    <row r="24" spans="1:12">
      <c r="F24" s="132"/>
      <c r="G24" s="132"/>
      <c r="H24" s="132"/>
      <c r="I24" s="132"/>
      <c r="J24" s="132"/>
    </row>
    <row r="25" spans="1:12" ht="34.049999999999997" customHeight="1">
      <c r="F25" s="132"/>
      <c r="G25" s="132"/>
      <c r="H25" s="132"/>
      <c r="I25" s="132"/>
      <c r="J25" s="132"/>
    </row>
    <row r="26" spans="1:12" ht="19.05" customHeight="1"/>
    <row r="27" spans="1:12">
      <c r="A27" s="142" t="s">
        <v>88</v>
      </c>
      <c r="B27" s="142"/>
      <c r="C27" s="142"/>
      <c r="D27" s="142"/>
      <c r="E27" s="142"/>
    </row>
    <row r="28" spans="1:12">
      <c r="A28" s="4" t="s">
        <v>101</v>
      </c>
      <c r="B28" s="76"/>
      <c r="C28" s="76"/>
      <c r="D28" s="76"/>
      <c r="E28" s="76"/>
    </row>
    <row r="29" spans="1:12" ht="16.2" thickBot="1">
      <c r="A29" s="45"/>
      <c r="B29" s="45"/>
      <c r="C29" s="45"/>
      <c r="D29" s="45"/>
      <c r="E29" s="45"/>
    </row>
    <row r="30" spans="1:12" ht="66" customHeight="1">
      <c r="A30" s="32" t="s">
        <v>67</v>
      </c>
      <c r="B30" s="29" t="s">
        <v>61</v>
      </c>
      <c r="C30" s="11" t="s">
        <v>75</v>
      </c>
      <c r="D30" s="11" t="s">
        <v>66</v>
      </c>
      <c r="E30" s="12" t="s">
        <v>62</v>
      </c>
      <c r="G30" s="127" t="s">
        <v>58</v>
      </c>
      <c r="H30" s="128"/>
      <c r="I30" s="128"/>
      <c r="J30" s="128"/>
      <c r="K30" s="57" t="s">
        <v>60</v>
      </c>
      <c r="L30" s="62" t="s">
        <v>59</v>
      </c>
    </row>
    <row r="31" spans="1:12" ht="16.95" customHeight="1">
      <c r="A31" s="18" t="s">
        <v>48</v>
      </c>
      <c r="B31" s="6"/>
      <c r="C31" s="16">
        <f>ROUNDUP(K31/250,0)+8</f>
        <v>8</v>
      </c>
      <c r="D31" s="16">
        <f t="shared" ref="D31:D35" si="2">C31*2</f>
        <v>16</v>
      </c>
      <c r="E31" s="17"/>
      <c r="G31" s="122" t="s">
        <v>45</v>
      </c>
      <c r="H31" s="123"/>
      <c r="I31" s="123"/>
      <c r="J31" s="123"/>
      <c r="K31" s="58">
        <f>B9</f>
        <v>0</v>
      </c>
      <c r="L31" s="59"/>
    </row>
    <row r="32" spans="1:12" ht="27.6">
      <c r="A32" s="18" t="s">
        <v>20</v>
      </c>
      <c r="B32" s="6"/>
      <c r="C32" s="16">
        <f>IF(AND(ROUNDUP(K32/100,0)&gt;0,ROUNDUP(K32/100,0)&lt;2),2,ROUNDUP(K32/100,0))</f>
        <v>0</v>
      </c>
      <c r="D32" s="86" t="s">
        <v>83</v>
      </c>
      <c r="E32" s="85"/>
      <c r="G32" s="122" t="s">
        <v>21</v>
      </c>
      <c r="H32" s="123"/>
      <c r="I32" s="123"/>
      <c r="J32" s="123"/>
      <c r="K32" s="58">
        <f>F22*3+G22+H22</f>
        <v>0</v>
      </c>
      <c r="L32" s="60"/>
    </row>
    <row r="33" spans="1:12">
      <c r="A33" s="18" t="s">
        <v>22</v>
      </c>
      <c r="B33" s="15"/>
      <c r="C33" s="16">
        <f>IF(K33*0.167 + L33*1.5 + L33*0.5 = 0, 0, MAX(2, ROUNDUP(K33*0.167 + L33*1.5 + L33*0.5, 0)))</f>
        <v>0</v>
      </c>
      <c r="D33" s="16">
        <f>IF(K33*0.33 + L33*0.3 + L33*0.3 = 0, 0, MAX(4, ROUNDUP(K33*0.33 + L33*0.3 + L33*0.3, 0)))</f>
        <v>0</v>
      </c>
      <c r="E33" s="17"/>
      <c r="G33" s="155" t="s">
        <v>99</v>
      </c>
      <c r="H33" s="123"/>
      <c r="I33" s="123"/>
      <c r="J33" s="123"/>
      <c r="K33" s="58">
        <f>J9</f>
        <v>0</v>
      </c>
      <c r="L33" s="59">
        <f>J13</f>
        <v>0</v>
      </c>
    </row>
    <row r="34" spans="1:12" ht="15.45" customHeight="1">
      <c r="A34" s="18" t="s">
        <v>24</v>
      </c>
      <c r="B34" s="6"/>
      <c r="C34" s="16">
        <f>IF(AND(ROUNDUP(K34/1000*10,0)&gt;0,ROUNDUP(K34/1000*10,0)&lt;2),2,ROUNDUP(K34/1000*10,0))</f>
        <v>0</v>
      </c>
      <c r="D34" s="16">
        <f>IF(C34 = 0, 0, 8)</f>
        <v>0</v>
      </c>
      <c r="E34" s="28">
        <f>3*F9</f>
        <v>0</v>
      </c>
      <c r="G34" s="155" t="s">
        <v>100</v>
      </c>
      <c r="H34" s="123"/>
      <c r="I34" s="123"/>
      <c r="J34" s="123"/>
      <c r="K34" s="58">
        <f>F9</f>
        <v>0</v>
      </c>
      <c r="L34" s="59"/>
    </row>
    <row r="35" spans="1:12" ht="16.05" customHeight="1" thickBot="1">
      <c r="A35" s="79" t="s">
        <v>25</v>
      </c>
      <c r="B35" s="80"/>
      <c r="C35" s="23">
        <f>IF(AND(ROUNDUP(K35*2,0)+ROUNDUP(L35/24*4,0)&gt;0,ROUNDUP(K35*2,0)+ROUNDUP(L35/24*4,0)&lt;2),2,ROUNDUP(K35*2,0)+ROUNDUP(L35/24*4,0))</f>
        <v>3</v>
      </c>
      <c r="D35" s="23">
        <f t="shared" si="2"/>
        <v>6</v>
      </c>
      <c r="E35" s="82"/>
      <c r="G35" s="161" t="s">
        <v>70</v>
      </c>
      <c r="H35" s="162"/>
      <c r="I35" s="162"/>
      <c r="J35" s="162"/>
      <c r="K35" s="83">
        <f>J22</f>
        <v>1</v>
      </c>
      <c r="L35" s="84">
        <f>H9</f>
        <v>6</v>
      </c>
    </row>
    <row r="36" spans="1:12" ht="16.2" thickBot="1"/>
    <row r="37" spans="1:12">
      <c r="A37" s="135" t="s">
        <v>81</v>
      </c>
      <c r="B37" s="136"/>
      <c r="C37" s="136"/>
      <c r="D37" s="136"/>
      <c r="E37" s="136"/>
      <c r="F37" s="137"/>
    </row>
    <row r="38" spans="1:12" ht="16.2" thickBot="1">
      <c r="A38" s="138"/>
      <c r="B38" s="139"/>
      <c r="C38" s="139"/>
      <c r="D38" s="139"/>
      <c r="E38" s="139"/>
      <c r="F38" s="140"/>
    </row>
    <row r="39" spans="1:12" ht="99" customHeight="1">
      <c r="A39" s="32" t="s">
        <v>67</v>
      </c>
      <c r="B39" s="112" t="s">
        <v>61</v>
      </c>
      <c r="C39" s="11" t="s">
        <v>76</v>
      </c>
      <c r="D39" s="11" t="s">
        <v>74</v>
      </c>
      <c r="E39" s="11" t="s">
        <v>65</v>
      </c>
      <c r="F39" s="12" t="s">
        <v>62</v>
      </c>
      <c r="H39" s="72" t="s">
        <v>78</v>
      </c>
      <c r="I39" s="72" t="s">
        <v>79</v>
      </c>
    </row>
    <row r="40" spans="1:12">
      <c r="A40" s="110" t="s">
        <v>48</v>
      </c>
      <c r="B40" s="16">
        <v>1</v>
      </c>
      <c r="C40" s="111">
        <v>8</v>
      </c>
      <c r="D40" s="71">
        <v>16</v>
      </c>
      <c r="E40" s="16">
        <f>(0.15*$F$11/365*$J$11)+((0.25*$F$11/365*$H$11)+($H$9*$F$11)+($D$11*$F$11))+200+ ROUNDUP(B9*0.015625*B13, 0)</f>
        <v>452</v>
      </c>
      <c r="F40" s="17"/>
      <c r="H40" s="6" t="str">
        <f>IF(B40*C40&lt;C31, "добавьте cpu", "верно")</f>
        <v>верно</v>
      </c>
      <c r="I40" s="6" t="str">
        <f>IF(B40*D40&lt;D31, "добавьте RAM", "верно")</f>
        <v>верно</v>
      </c>
    </row>
    <row r="41" spans="1:12">
      <c r="A41" s="18" t="s">
        <v>20</v>
      </c>
      <c r="B41" s="113">
        <v>1</v>
      </c>
      <c r="C41" s="71">
        <v>2</v>
      </c>
      <c r="D41" s="71">
        <v>4</v>
      </c>
      <c r="E41" s="16">
        <v>50</v>
      </c>
      <c r="F41" s="17"/>
      <c r="H41" s="6" t="str">
        <f>IF(B41*C41&lt;C32, "добавьте cpu", "верно")</f>
        <v>верно</v>
      </c>
      <c r="I41" s="6" t="str">
        <f>"верно"</f>
        <v>верно</v>
      </c>
    </row>
    <row r="42" spans="1:12">
      <c r="A42" s="18" t="s">
        <v>22</v>
      </c>
      <c r="B42" s="44">
        <v>1</v>
      </c>
      <c r="C42" s="71">
        <v>2</v>
      </c>
      <c r="D42" s="71">
        <v>4</v>
      </c>
      <c r="E42" s="16">
        <v>50</v>
      </c>
      <c r="F42" s="17"/>
      <c r="H42" s="6" t="str">
        <f>IF(B42*C42&lt;C33, "добавьте cpu", "верно")</f>
        <v>верно</v>
      </c>
      <c r="I42" s="6" t="str">
        <f>IF(B42*D42&lt;D33, "добавьте RAM", "верно")</f>
        <v>верно</v>
      </c>
    </row>
    <row r="43" spans="1:12">
      <c r="A43" s="18" t="s">
        <v>24</v>
      </c>
      <c r="B43" s="44">
        <v>1</v>
      </c>
      <c r="C43" s="71">
        <v>2</v>
      </c>
      <c r="D43" s="71">
        <v>4</v>
      </c>
      <c r="E43" s="16">
        <v>50</v>
      </c>
      <c r="F43" s="17">
        <f>3*F9</f>
        <v>0</v>
      </c>
      <c r="H43" s="6" t="str">
        <f>IF(B43*C43&lt;C34, "добавьте cpu", "верно")</f>
        <v>верно</v>
      </c>
      <c r="I43" s="6" t="str">
        <f>IF(B43*D43&lt;D34, "добавьте RAM", "верно")</f>
        <v>верно</v>
      </c>
    </row>
    <row r="44" spans="1:12" ht="16.2" thickBot="1">
      <c r="A44" s="19" t="s">
        <v>25</v>
      </c>
      <c r="B44" s="44">
        <v>1</v>
      </c>
      <c r="C44" s="71">
        <v>3</v>
      </c>
      <c r="D44" s="71">
        <v>6</v>
      </c>
      <c r="E44" s="16">
        <v>100</v>
      </c>
      <c r="F44" s="21"/>
      <c r="H44" s="6" t="str">
        <f>IF(B44*C44&lt;C35, "добавьте cpu", "верно")</f>
        <v>верно</v>
      </c>
      <c r="I44" s="6" t="str">
        <f>IF(B44*D44&lt;D35, "добавьте RAM", "верно")</f>
        <v>верно</v>
      </c>
    </row>
    <row r="45" spans="1:12" ht="16.2" thickBot="1">
      <c r="A45" s="73" t="s">
        <v>77</v>
      </c>
      <c r="B45" s="74">
        <f>SUM(B40:B44)</f>
        <v>5</v>
      </c>
      <c r="C45" s="74">
        <f>SUMPRODUCT(B40:B44,C40:C44)</f>
        <v>17</v>
      </c>
      <c r="D45" s="74">
        <f>SUMPRODUCT(B40:B44,D40:D44)</f>
        <v>34</v>
      </c>
      <c r="E45" s="74">
        <f>SUMPRODUCT(B40:B44,E40:E44)</f>
        <v>702</v>
      </c>
      <c r="F45" s="75"/>
    </row>
  </sheetData>
  <mergeCells count="16">
    <mergeCell ref="K16:K22"/>
    <mergeCell ref="F23:J25"/>
    <mergeCell ref="A37:F38"/>
    <mergeCell ref="G34:J34"/>
    <mergeCell ref="G35:J35"/>
    <mergeCell ref="G30:J30"/>
    <mergeCell ref="G31:J31"/>
    <mergeCell ref="G32:J32"/>
    <mergeCell ref="G33:J33"/>
    <mergeCell ref="A27:E27"/>
    <mergeCell ref="A15:I15"/>
    <mergeCell ref="A4:J4"/>
    <mergeCell ref="A5:J5"/>
    <mergeCell ref="A6:J6"/>
    <mergeCell ref="A1:E1"/>
    <mergeCell ref="A3:J3"/>
  </mergeCells>
  <conditionalFormatting sqref="H40:I44">
    <cfRule type="containsText" dxfId="0" priority="1" operator="containsText" text="добавьте">
      <formula>NOT(ISERROR(SEARCH("добавьте",H40)))</formula>
    </cfRule>
  </conditionalFormatting>
  <dataValidations count="3">
    <dataValidation type="whole" allowBlank="1" showInputMessage="1" showErrorMessage="1" errorTitle="Укажите правильное значение RAM" error="Для каждого сервера MEDIA необходимо не менее 4Гб и не более 8Гб RAM независимо от количества пользователей." prompt="Для каждого сервера MEDIA необходимо не менее 4Гб и не более 8Гб RAM независимо от количества пользователей." sqref="D41" xr:uid="{66E21A3B-7343-4880-A61C-69708A1B38B9}">
      <formula1>4</formula1>
      <formula2>8</formula2>
    </dataValidation>
    <dataValidation type="whole" operator="notBetween" allowBlank="1" showErrorMessage="1" error="Используйте не менее 2 ядер" sqref="C40:C44" xr:uid="{D2E4337C-24DA-414A-99A9-D46EDE2C67F4}">
      <formula1>1</formula1>
      <formula2>1</formula2>
    </dataValidation>
    <dataValidation type="whole" operator="lessThanOrEqual" allowBlank="1" showInputMessage="1" showErrorMessage="1" errorTitle="Некорректное значение" error="Количество SIP видеовызовов не должно превышать количество SIP подключений (ячейка J8)." sqref="J13" xr:uid="{DB938260-3A11-42BF-A220-98E2E313ECD5}">
      <formula1>J9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6A6655-914D-49B4-A505-765FB4B544EE}">
  <dimension ref="A1:L40"/>
  <sheetViews>
    <sheetView tabSelected="1" zoomScale="70" zoomScaleNormal="70" workbookViewId="0">
      <selection sqref="A1:E1"/>
    </sheetView>
  </sheetViews>
  <sheetFormatPr defaultColWidth="11" defaultRowHeight="15.6"/>
  <cols>
    <col min="1" max="1" width="17" customWidth="1"/>
    <col min="2" max="2" width="14.19921875" customWidth="1"/>
    <col min="3" max="3" width="17.296875" customWidth="1"/>
    <col min="4" max="4" width="14.19921875" customWidth="1"/>
    <col min="5" max="5" width="15.296875" customWidth="1"/>
    <col min="6" max="6" width="13.19921875" customWidth="1"/>
    <col min="7" max="7" width="19.19921875" customWidth="1"/>
    <col min="8" max="8" width="21" customWidth="1"/>
    <col min="9" max="9" width="21.69921875" customWidth="1"/>
    <col min="10" max="10" width="20.5" customWidth="1"/>
    <col min="11" max="11" width="27.5" customWidth="1"/>
    <col min="12" max="12" width="25.296875" customWidth="1"/>
    <col min="13" max="13" width="23.19921875" customWidth="1"/>
    <col min="14" max="14" width="14.69921875" customWidth="1"/>
    <col min="15" max="15" width="18" customWidth="1"/>
    <col min="16" max="16" width="21.69921875" customWidth="1"/>
    <col min="17" max="17" width="31" customWidth="1"/>
    <col min="21" max="21" width="53.19921875" customWidth="1"/>
  </cols>
  <sheetData>
    <row r="1" spans="1:11">
      <c r="A1" s="117" t="s">
        <v>102</v>
      </c>
      <c r="B1" s="117"/>
      <c r="C1" s="117"/>
      <c r="D1" s="117"/>
      <c r="E1" s="117"/>
    </row>
    <row r="2" spans="1:11">
      <c r="A2" s="56"/>
      <c r="B2" s="56"/>
      <c r="C2" s="56"/>
      <c r="D2" s="56"/>
      <c r="E2" s="56"/>
    </row>
    <row r="3" spans="1:11" ht="18">
      <c r="A3" s="130" t="s">
        <v>92</v>
      </c>
      <c r="B3" s="130"/>
      <c r="C3" s="130"/>
      <c r="D3" s="130"/>
      <c r="E3" s="130"/>
      <c r="F3" s="130"/>
      <c r="G3" s="130"/>
      <c r="H3" s="130"/>
      <c r="I3" s="130"/>
      <c r="J3" s="130"/>
    </row>
    <row r="4" spans="1:11" ht="34.200000000000003" customHeight="1">
      <c r="A4" s="134" t="s">
        <v>93</v>
      </c>
      <c r="B4" s="134"/>
      <c r="C4" s="134"/>
      <c r="D4" s="134"/>
      <c r="E4" s="134"/>
      <c r="F4" s="134"/>
      <c r="G4" s="134"/>
      <c r="H4" s="134"/>
      <c r="I4" s="134"/>
      <c r="J4" s="134"/>
    </row>
    <row r="5" spans="1:11" ht="18">
      <c r="A5" s="133" t="s">
        <v>95</v>
      </c>
      <c r="B5" s="133"/>
      <c r="C5" s="133"/>
      <c r="D5" s="133"/>
      <c r="E5" s="133"/>
      <c r="F5" s="133"/>
      <c r="G5" s="133"/>
      <c r="H5" s="133"/>
      <c r="I5" s="133"/>
      <c r="J5" s="133"/>
    </row>
    <row r="7" spans="1:11" ht="16.2" thickBot="1">
      <c r="I7" s="1"/>
      <c r="J7" s="1"/>
      <c r="K7" s="2"/>
    </row>
    <row r="8" spans="1:11" ht="171.6">
      <c r="A8" s="91" t="s">
        <v>4</v>
      </c>
      <c r="B8" s="92">
        <v>0</v>
      </c>
      <c r="C8" s="93" t="s">
        <v>0</v>
      </c>
      <c r="D8" s="94">
        <f>B8*0.3</f>
        <v>0</v>
      </c>
      <c r="E8" s="54" t="s">
        <v>1</v>
      </c>
      <c r="F8" s="94">
        <f>D8*0.1</f>
        <v>0</v>
      </c>
      <c r="G8" s="95" t="s">
        <v>96</v>
      </c>
      <c r="H8" s="94">
        <f>J21*6</f>
        <v>6</v>
      </c>
      <c r="I8" s="55" t="s">
        <v>98</v>
      </c>
      <c r="J8" s="96">
        <v>0</v>
      </c>
    </row>
    <row r="9" spans="1:11">
      <c r="A9" s="97"/>
      <c r="B9" s="98"/>
      <c r="C9" s="98"/>
      <c r="D9" s="98"/>
      <c r="E9" s="98"/>
      <c r="F9" s="98"/>
      <c r="G9" s="98"/>
      <c r="H9" s="98"/>
      <c r="I9" s="98"/>
      <c r="J9" s="99"/>
    </row>
    <row r="10" spans="1:11" ht="93.6">
      <c r="A10" s="100" t="s">
        <v>2</v>
      </c>
      <c r="B10" s="101">
        <f>B8*0.02</f>
        <v>0</v>
      </c>
      <c r="C10" s="102" t="s">
        <v>3</v>
      </c>
      <c r="D10" s="103">
        <v>2</v>
      </c>
      <c r="E10" s="27" t="s">
        <v>54</v>
      </c>
      <c r="F10" s="104">
        <v>30</v>
      </c>
      <c r="G10" s="27" t="s">
        <v>55</v>
      </c>
      <c r="H10" s="105">
        <v>365</v>
      </c>
      <c r="I10" s="27" t="s">
        <v>56</v>
      </c>
      <c r="J10" s="106">
        <v>365</v>
      </c>
      <c r="K10" s="2"/>
    </row>
    <row r="11" spans="1:11">
      <c r="A11" s="97"/>
      <c r="B11" s="98"/>
      <c r="C11" s="98"/>
      <c r="D11" s="98"/>
      <c r="E11" s="98"/>
      <c r="F11" s="98"/>
      <c r="G11" s="98"/>
      <c r="H11" s="98"/>
      <c r="I11" s="98"/>
      <c r="J11" s="99"/>
    </row>
    <row r="12" spans="1:11" ht="63" thickBot="1">
      <c r="A12" s="107" t="s">
        <v>84</v>
      </c>
      <c r="B12" s="108">
        <v>7</v>
      </c>
      <c r="C12" s="109"/>
      <c r="D12" s="109"/>
      <c r="E12" s="109"/>
      <c r="F12" s="109"/>
      <c r="G12" s="109"/>
      <c r="H12" s="109"/>
      <c r="I12" s="115" t="s">
        <v>97</v>
      </c>
      <c r="J12" s="116">
        <v>0</v>
      </c>
    </row>
    <row r="13" spans="1:11" ht="16.2" thickBot="1"/>
    <row r="14" spans="1:11" ht="16.05" customHeight="1">
      <c r="A14" s="118" t="s">
        <v>63</v>
      </c>
      <c r="B14" s="119"/>
      <c r="C14" s="119"/>
      <c r="D14" s="119"/>
      <c r="E14" s="119"/>
      <c r="F14" s="119"/>
      <c r="G14" s="119"/>
      <c r="H14" s="119"/>
      <c r="I14" s="119"/>
      <c r="J14" s="34"/>
      <c r="K14" s="2"/>
    </row>
    <row r="15" spans="1:11" ht="204" customHeight="1">
      <c r="A15" s="18" t="s">
        <v>5</v>
      </c>
      <c r="B15" s="5" t="s">
        <v>6</v>
      </c>
      <c r="C15" s="5" t="s">
        <v>7</v>
      </c>
      <c r="D15" s="5" t="s">
        <v>8</v>
      </c>
      <c r="E15" s="5" t="s">
        <v>51</v>
      </c>
      <c r="F15" s="5" t="s">
        <v>9</v>
      </c>
      <c r="G15" s="5" t="s">
        <v>50</v>
      </c>
      <c r="H15" s="5" t="s">
        <v>52</v>
      </c>
      <c r="I15" s="5" t="s">
        <v>10</v>
      </c>
      <c r="J15" s="35" t="s">
        <v>53</v>
      </c>
      <c r="K15" s="120" t="s">
        <v>47</v>
      </c>
    </row>
    <row r="16" spans="1:11">
      <c r="A16" s="36" t="s">
        <v>11</v>
      </c>
      <c r="B16" s="7">
        <v>40</v>
      </c>
      <c r="C16" s="8">
        <f>$D$8*B16/100</f>
        <v>0</v>
      </c>
      <c r="D16" s="9">
        <v>2</v>
      </c>
      <c r="E16" s="9">
        <v>2</v>
      </c>
      <c r="F16" s="8">
        <f t="shared" ref="F16:F18" si="0">ROUNDUP(C16/D16*E16,0)</f>
        <v>0</v>
      </c>
      <c r="G16" s="9">
        <v>10</v>
      </c>
      <c r="H16" s="9">
        <v>60</v>
      </c>
      <c r="I16" s="8">
        <f t="shared" ref="I16:I18" si="1">ROUNDUP(C16/D16,0)</f>
        <v>0</v>
      </c>
      <c r="J16" s="37">
        <v>1</v>
      </c>
      <c r="K16" s="121"/>
    </row>
    <row r="17" spans="1:12">
      <c r="A17" s="36" t="s">
        <v>12</v>
      </c>
      <c r="B17" s="7">
        <v>32</v>
      </c>
      <c r="C17" s="8">
        <f>$D$8*B17/100</f>
        <v>0</v>
      </c>
      <c r="D17" s="9">
        <v>4</v>
      </c>
      <c r="E17" s="9">
        <v>3</v>
      </c>
      <c r="F17" s="8">
        <f t="shared" si="0"/>
        <v>0</v>
      </c>
      <c r="G17" s="9">
        <v>10</v>
      </c>
      <c r="H17" s="9">
        <v>60</v>
      </c>
      <c r="I17" s="8">
        <f t="shared" si="1"/>
        <v>0</v>
      </c>
      <c r="J17" s="37">
        <v>2</v>
      </c>
      <c r="K17" s="121"/>
    </row>
    <row r="18" spans="1:12">
      <c r="A18" s="36" t="s">
        <v>13</v>
      </c>
      <c r="B18" s="7">
        <v>16</v>
      </c>
      <c r="C18" s="8">
        <f>$D$8*B18/100</f>
        <v>0</v>
      </c>
      <c r="D18" s="9">
        <v>8</v>
      </c>
      <c r="E18" s="9">
        <v>4</v>
      </c>
      <c r="F18" s="8">
        <f t="shared" si="0"/>
        <v>0</v>
      </c>
      <c r="G18" s="9">
        <v>10</v>
      </c>
      <c r="H18" s="9">
        <v>60</v>
      </c>
      <c r="I18" s="8">
        <f t="shared" si="1"/>
        <v>0</v>
      </c>
      <c r="J18" s="37">
        <v>3</v>
      </c>
      <c r="K18" s="121"/>
    </row>
    <row r="19" spans="1:12">
      <c r="A19" s="36" t="s">
        <v>14</v>
      </c>
      <c r="B19" s="7">
        <v>10</v>
      </c>
      <c r="C19" s="8">
        <f>$D$8*B19/100</f>
        <v>0</v>
      </c>
      <c r="D19" s="9">
        <v>20</v>
      </c>
      <c r="E19" s="9">
        <v>4</v>
      </c>
      <c r="F19" s="8">
        <f>ROUNDUP(C19/D19*E19,0)</f>
        <v>0</v>
      </c>
      <c r="G19" s="9">
        <v>10</v>
      </c>
      <c r="H19" s="9">
        <v>60</v>
      </c>
      <c r="I19" s="8">
        <f>ROUNDUP(C19/D19,0)</f>
        <v>0</v>
      </c>
      <c r="J19" s="37">
        <v>5</v>
      </c>
      <c r="K19" s="121"/>
    </row>
    <row r="20" spans="1:12">
      <c r="A20" s="36" t="s">
        <v>15</v>
      </c>
      <c r="B20" s="7">
        <v>2</v>
      </c>
      <c r="C20" s="8">
        <f>$D$8*B20/100</f>
        <v>0</v>
      </c>
      <c r="D20" s="9">
        <v>50</v>
      </c>
      <c r="E20" s="9">
        <v>3</v>
      </c>
      <c r="F20" s="8">
        <f>ROUNDUP(C20/D20*E20,0)</f>
        <v>0</v>
      </c>
      <c r="G20" s="9">
        <v>10</v>
      </c>
      <c r="H20" s="9">
        <v>70</v>
      </c>
      <c r="I20" s="8">
        <f>ROUNDUP(C20/D20,0)</f>
        <v>0</v>
      </c>
      <c r="J20" s="37">
        <v>7</v>
      </c>
      <c r="K20" s="121"/>
    </row>
    <row r="21" spans="1:12" ht="16.2" thickBot="1">
      <c r="A21" s="38" t="s">
        <v>16</v>
      </c>
      <c r="B21" s="39">
        <f>SUM(B16:B20)</f>
        <v>100</v>
      </c>
      <c r="C21" s="39">
        <f>SUM(C16:C20)</f>
        <v>0</v>
      </c>
      <c r="D21" s="40"/>
      <c r="E21" s="40"/>
      <c r="F21" s="39">
        <f>SUM(F16:F20)</f>
        <v>0</v>
      </c>
      <c r="G21" s="39">
        <f>ROUNDUP(C16*G16/100+C17*G17/100+C18*G18/100+C19*G19/100+C20*G20/100,0)</f>
        <v>0</v>
      </c>
      <c r="H21" s="39">
        <f>ROUNDUP(C16*H16/100+C17*H17/100+C18*H18/100+C19*H19/100,0)</f>
        <v>0</v>
      </c>
      <c r="I21" s="39">
        <f>SUM(I16:I20)</f>
        <v>0</v>
      </c>
      <c r="J21" s="114">
        <v>1</v>
      </c>
      <c r="K21" s="121"/>
    </row>
    <row r="22" spans="1:12" ht="16.05" customHeight="1">
      <c r="A22" s="3"/>
      <c r="F22" s="131" t="s">
        <v>49</v>
      </c>
      <c r="G22" s="131"/>
      <c r="H22" s="131"/>
      <c r="I22" s="131"/>
      <c r="J22" s="131"/>
    </row>
    <row r="23" spans="1:12">
      <c r="F23" s="132"/>
      <c r="G23" s="132"/>
      <c r="H23" s="132"/>
      <c r="I23" s="132"/>
      <c r="J23" s="132"/>
    </row>
    <row r="24" spans="1:12" ht="34.049999999999997" customHeight="1">
      <c r="F24" s="132"/>
      <c r="G24" s="132"/>
      <c r="H24" s="132"/>
      <c r="I24" s="132"/>
      <c r="J24" s="132"/>
    </row>
    <row r="25" spans="1:12" ht="19.05" customHeight="1"/>
    <row r="26" spans="1:12">
      <c r="A26" s="142" t="s">
        <v>89</v>
      </c>
      <c r="B26" s="142"/>
      <c r="C26" s="142"/>
      <c r="D26" s="142"/>
      <c r="E26" s="142"/>
    </row>
    <row r="27" spans="1:12">
      <c r="A27" s="4" t="s">
        <v>101</v>
      </c>
      <c r="B27" s="76"/>
      <c r="C27" s="76"/>
      <c r="D27" s="76"/>
      <c r="E27" s="76"/>
    </row>
    <row r="28" spans="1:12" ht="16.2" thickBot="1">
      <c r="A28" s="45"/>
      <c r="B28" s="45"/>
      <c r="C28" s="45"/>
      <c r="D28" s="45"/>
      <c r="E28" s="45"/>
    </row>
    <row r="29" spans="1:12" ht="66" customHeight="1">
      <c r="A29" s="32" t="s">
        <v>67</v>
      </c>
      <c r="B29" s="29" t="s">
        <v>61</v>
      </c>
      <c r="C29" s="11" t="s">
        <v>75</v>
      </c>
      <c r="D29" s="11" t="s">
        <v>66</v>
      </c>
      <c r="E29" s="12" t="s">
        <v>62</v>
      </c>
      <c r="G29" s="127" t="s">
        <v>58</v>
      </c>
      <c r="H29" s="128"/>
      <c r="I29" s="128"/>
      <c r="J29" s="128"/>
      <c r="K29" s="57" t="s">
        <v>60</v>
      </c>
      <c r="L29" s="62" t="s">
        <v>59</v>
      </c>
    </row>
    <row r="30" spans="1:12" ht="16.95" customHeight="1">
      <c r="A30" s="18" t="s">
        <v>48</v>
      </c>
      <c r="B30" s="6"/>
      <c r="C30" s="16">
        <f>ROUNDUP(K30/250,0)+8</f>
        <v>8</v>
      </c>
      <c r="D30" s="16">
        <f t="shared" ref="D30:D34" si="2">C30*2</f>
        <v>16</v>
      </c>
      <c r="E30" s="17"/>
      <c r="G30" s="122" t="s">
        <v>45</v>
      </c>
      <c r="H30" s="123"/>
      <c r="I30" s="123"/>
      <c r="J30" s="123"/>
      <c r="K30" s="58">
        <f>B8</f>
        <v>0</v>
      </c>
      <c r="L30" s="59"/>
    </row>
    <row r="31" spans="1:12">
      <c r="A31" s="18" t="s">
        <v>20</v>
      </c>
      <c r="B31" s="6"/>
      <c r="C31" s="16">
        <f>IF(AND(ROUNDUP(K31/100,0)&gt;0,ROUNDUP(K31/100,0)&lt;2),2,ROUNDUP(K31/100,0))</f>
        <v>0</v>
      </c>
      <c r="D31" s="16">
        <v>8</v>
      </c>
      <c r="E31" s="85"/>
      <c r="G31" s="122" t="s">
        <v>21</v>
      </c>
      <c r="H31" s="123"/>
      <c r="I31" s="123"/>
      <c r="J31" s="123"/>
      <c r="K31" s="58">
        <f>F21*3+G21+H21</f>
        <v>0</v>
      </c>
      <c r="L31" s="60"/>
    </row>
    <row r="32" spans="1:12">
      <c r="A32" s="18" t="s">
        <v>22</v>
      </c>
      <c r="B32" s="15"/>
      <c r="C32" s="16">
        <f>IF(K32*0.167 + L32*1.5 + L32*0.5 = 0, 0, MAX(2, ROUNDUP(K32*0.167 + L32*1.5 + L32*0.5, 0)))</f>
        <v>0</v>
      </c>
      <c r="D32" s="16">
        <f>IF(K32*0.33 + L32*0.3 + L32*0.3 = 0, 0, MAX(4, ROUNDUP(K32*0.33 + L32*0.3 + L32*0.3, 0)))</f>
        <v>0</v>
      </c>
      <c r="E32" s="17"/>
      <c r="G32" s="155" t="s">
        <v>99</v>
      </c>
      <c r="H32" s="123"/>
      <c r="I32" s="123"/>
      <c r="J32" s="123"/>
      <c r="K32" s="58">
        <f>J8</f>
        <v>0</v>
      </c>
      <c r="L32" s="59">
        <f>J12</f>
        <v>0</v>
      </c>
    </row>
    <row r="33" spans="1:12" ht="15.45" customHeight="1">
      <c r="A33" s="18" t="s">
        <v>24</v>
      </c>
      <c r="B33" s="6"/>
      <c r="C33" s="16">
        <f>IF(AND(ROUNDUP(K33/1000*10,0)&gt;0,ROUNDUP(K33/1000*10,0)&lt;2),2,ROUNDUP(K33/1000*10,0))</f>
        <v>0</v>
      </c>
      <c r="D33" s="16">
        <f>IF(C33 = 0, 0, 8)</f>
        <v>0</v>
      </c>
      <c r="E33" s="28">
        <f>3*F8</f>
        <v>0</v>
      </c>
      <c r="G33" s="155" t="s">
        <v>100</v>
      </c>
      <c r="H33" s="123"/>
      <c r="I33" s="123"/>
      <c r="J33" s="123"/>
      <c r="K33" s="58">
        <f>F8</f>
        <v>0</v>
      </c>
      <c r="L33" s="59"/>
    </row>
    <row r="34" spans="1:12" ht="16.05" customHeight="1" thickBot="1">
      <c r="A34" s="79" t="s">
        <v>25</v>
      </c>
      <c r="B34" s="80"/>
      <c r="C34" s="23">
        <f>IF(AND(ROUNDUP(K34*2,0)+ROUNDUP(L34/24*4,0)&gt;0,ROUNDUP(K34*2,0)+ROUNDUP(L34/24*4,0)&lt;2),2,ROUNDUP(K34*2,0)+ROUNDUP(L34/24*4,0))</f>
        <v>3</v>
      </c>
      <c r="D34" s="23">
        <f t="shared" si="2"/>
        <v>6</v>
      </c>
      <c r="E34" s="82"/>
      <c r="G34" s="161" t="s">
        <v>70</v>
      </c>
      <c r="H34" s="162"/>
      <c r="I34" s="162"/>
      <c r="J34" s="162"/>
      <c r="K34" s="83">
        <f>J21</f>
        <v>1</v>
      </c>
      <c r="L34" s="84">
        <f>H8</f>
        <v>6</v>
      </c>
    </row>
    <row r="35" spans="1:12" ht="16.2" thickBot="1"/>
    <row r="36" spans="1:12">
      <c r="A36" s="135" t="s">
        <v>81</v>
      </c>
      <c r="B36" s="136"/>
      <c r="C36" s="136"/>
      <c r="D36" s="136"/>
      <c r="E36" s="136"/>
      <c r="F36" s="137"/>
    </row>
    <row r="37" spans="1:12" ht="16.2" thickBot="1">
      <c r="A37" s="138"/>
      <c r="B37" s="139"/>
      <c r="C37" s="139"/>
      <c r="D37" s="139"/>
      <c r="E37" s="139"/>
      <c r="F37" s="140"/>
    </row>
    <row r="38" spans="1:12" ht="99" customHeight="1">
      <c r="A38" s="32" t="s">
        <v>67</v>
      </c>
      <c r="B38" s="29" t="s">
        <v>61</v>
      </c>
      <c r="C38" s="11" t="s">
        <v>76</v>
      </c>
      <c r="D38" s="11" t="s">
        <v>74</v>
      </c>
      <c r="E38" s="11" t="s">
        <v>65</v>
      </c>
      <c r="F38" s="12" t="s">
        <v>62</v>
      </c>
    </row>
    <row r="39" spans="1:12" ht="16.2" thickBot="1">
      <c r="A39" s="18" t="s">
        <v>90</v>
      </c>
      <c r="B39" s="81">
        <v>1</v>
      </c>
      <c r="C39" s="81">
        <f>MROUND(SUM(C30:C34),2)</f>
        <v>12</v>
      </c>
      <c r="D39" s="81">
        <f>D30+D31+D32+D33+D34</f>
        <v>30</v>
      </c>
      <c r="E39" s="16">
        <f>(0.15*$F$10/365*$J$10)+((0.25*$F$10/365*$H$10)+($H$8*$F$10)+($D$10*$F$10))+200+ ROUNDUP(B8*0.015625*B12, 0)</f>
        <v>452</v>
      </c>
      <c r="F39" s="17"/>
    </row>
    <row r="40" spans="1:12" ht="16.2" thickBot="1">
      <c r="A40" s="73" t="s">
        <v>77</v>
      </c>
      <c r="B40" s="74">
        <f>SUM(B39:B39)</f>
        <v>1</v>
      </c>
      <c r="C40" s="74">
        <f>SUMPRODUCT(B39:B39,C39:C39)</f>
        <v>12</v>
      </c>
      <c r="D40" s="74">
        <f>SUMPRODUCT(B39:B39,D39:D39)</f>
        <v>30</v>
      </c>
      <c r="E40" s="74">
        <f>SUMPRODUCT(B39:B39,E39:E39)</f>
        <v>452</v>
      </c>
      <c r="F40" s="75"/>
    </row>
  </sheetData>
  <mergeCells count="15">
    <mergeCell ref="G29:J29"/>
    <mergeCell ref="G30:J30"/>
    <mergeCell ref="G31:J31"/>
    <mergeCell ref="G32:J32"/>
    <mergeCell ref="A36:F37"/>
    <mergeCell ref="G33:J33"/>
    <mergeCell ref="G34:J34"/>
    <mergeCell ref="A26:E26"/>
    <mergeCell ref="A1:E1"/>
    <mergeCell ref="A3:J3"/>
    <mergeCell ref="A14:I14"/>
    <mergeCell ref="K15:K21"/>
    <mergeCell ref="F22:J24"/>
    <mergeCell ref="A4:J4"/>
    <mergeCell ref="A5:J5"/>
  </mergeCells>
  <dataValidations count="3">
    <dataValidation type="whole" operator="notBetween" allowBlank="1" showErrorMessage="1" error="Используйте не менее 2 ядер" sqref="C39" xr:uid="{847EB29C-5C61-4D5D-B40D-B110142FC005}">
      <formula1>1</formula1>
      <formula2>1</formula2>
    </dataValidation>
    <dataValidation type="whole" operator="lessThanOrEqual" allowBlank="1" showInputMessage="1" showErrorMessage="1" errorTitle="Некорректное значение" error="Количество SIP видеовызовов не должно превышать количество SIP подключений (ячейка J8)." sqref="J12" xr:uid="{BAABB4B5-E87A-4D46-A1AF-ADC989C42B14}">
      <formula1>J8</formula1>
    </dataValidation>
    <dataValidation type="whole" allowBlank="1" showInputMessage="1" showErrorMessage="1" errorTitle="Укажите правильное значение RAM" error="Для каждого сервера MEDIA необходимо не менее 4Гб и не более 8Гб RAM независимо от количества пользователей." prompt="Для каждого сервера MEDIA необходимо не менее 4Гб и не более 8Гб RAM независимо от количества пользователей." sqref="D31" xr:uid="{B666A6BA-FB5A-426F-9A28-3CE8BB9118B0}">
      <formula1>4</formula1>
      <formula2>8</formula2>
    </dataValidation>
  </dataValidations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Enterprise HA</vt:lpstr>
      <vt:lpstr>Standard HA</vt:lpstr>
      <vt:lpstr>Basic</vt:lpstr>
      <vt:lpstr>All in one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Демидов Антон Владимирович</cp:lastModifiedBy>
  <cp:revision>3</cp:revision>
  <dcterms:created xsi:type="dcterms:W3CDTF">2024-05-23T13:01:03Z</dcterms:created>
  <dcterms:modified xsi:type="dcterms:W3CDTF">2025-08-18T08:24:27Z</dcterms:modified>
</cp:coreProperties>
</file>