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oks/Nextcloud/DION/On-Premise/Архитектура/Sizing/"/>
    </mc:Choice>
  </mc:AlternateContent>
  <xr:revisionPtr revIDLastSave="0" documentId="13_ncr:1_{76011477-2F42-FA41-BB0C-A45D9C895B00}" xr6:coauthVersionLast="47" xr6:coauthVersionMax="47" xr10:uidLastSave="{00000000-0000-0000-0000-000000000000}"/>
  <bookViews>
    <workbookView xWindow="360" yWindow="740" windowWidth="29040" windowHeight="16980" activeTab="3" xr2:uid="{00000000-000D-0000-FFFF-FFFF00000000}"/>
  </bookViews>
  <sheets>
    <sheet name="Enterprise HA" sheetId="1" r:id="rId1"/>
    <sheet name="Standard HA" sheetId="2" r:id="rId2"/>
    <sheet name="Basic" sheetId="3" r:id="rId3"/>
    <sheet name="All in on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3" l="1"/>
  <c r="C33" i="2"/>
  <c r="C32" i="2"/>
  <c r="C30" i="1"/>
  <c r="C31" i="1"/>
  <c r="C32" i="1"/>
  <c r="D35" i="1"/>
  <c r="D37" i="2"/>
  <c r="E37" i="2" s="1"/>
  <c r="F22" i="4"/>
  <c r="F26" i="3"/>
  <c r="F43" i="1"/>
  <c r="F42" i="1"/>
  <c r="F47" i="2"/>
  <c r="F46" i="2"/>
  <c r="F45" i="2"/>
  <c r="F44" i="2"/>
  <c r="H28" i="4"/>
  <c r="D22" i="4" s="1"/>
  <c r="H25" i="4"/>
  <c r="H29" i="4"/>
  <c r="H27" i="4"/>
  <c r="H26" i="4"/>
  <c r="E28" i="4"/>
  <c r="D29" i="1"/>
  <c r="D31" i="2"/>
  <c r="C31" i="2" s="1"/>
  <c r="C35" i="2"/>
  <c r="C30" i="2"/>
  <c r="C29" i="2"/>
  <c r="C28" i="2"/>
  <c r="C36" i="2"/>
  <c r="C34" i="2"/>
  <c r="C29" i="1"/>
  <c r="C34" i="1"/>
  <c r="C33" i="1"/>
  <c r="C28" i="1"/>
  <c r="Q30" i="3"/>
  <c r="Q29" i="3"/>
  <c r="Q28" i="3"/>
  <c r="Q27" i="3"/>
  <c r="Q26" i="3"/>
  <c r="O26" i="3"/>
  <c r="N26" i="3"/>
  <c r="Q34" i="2"/>
  <c r="Q36" i="2"/>
  <c r="Q37" i="2"/>
  <c r="Q35" i="2"/>
  <c r="Q33" i="2"/>
  <c r="Q32" i="2"/>
  <c r="Q31" i="2"/>
  <c r="Q30" i="2"/>
  <c r="Q29" i="2"/>
  <c r="Q28" i="2"/>
  <c r="Q33" i="1"/>
  <c r="Q34" i="1"/>
  <c r="Q28" i="1"/>
  <c r="Q29" i="1"/>
  <c r="Q30" i="1"/>
  <c r="Q31" i="1"/>
  <c r="M37" i="2"/>
  <c r="L37" i="2"/>
  <c r="M36" i="2"/>
  <c r="M34" i="2"/>
  <c r="M33" i="2"/>
  <c r="M32" i="2"/>
  <c r="M34" i="1"/>
  <c r="M31" i="1"/>
  <c r="M30" i="1"/>
  <c r="J12" i="1"/>
  <c r="J12" i="2"/>
  <c r="N34" i="2"/>
  <c r="N32" i="1"/>
  <c r="D26" i="3"/>
  <c r="J36" i="1" l="1"/>
  <c r="J37" i="2"/>
  <c r="H37" i="2"/>
  <c r="J38" i="2"/>
  <c r="I38" i="2"/>
  <c r="H38" i="2"/>
  <c r="I37" i="2"/>
  <c r="J39" i="2"/>
  <c r="I39" i="2"/>
  <c r="H39" i="2"/>
  <c r="J37" i="1"/>
  <c r="I36" i="1"/>
  <c r="H36" i="1"/>
  <c r="J22" i="4" l="1"/>
  <c r="C29" i="4"/>
  <c r="F28" i="4"/>
  <c r="C27" i="4"/>
  <c r="D27" i="4" s="1"/>
  <c r="C25" i="4"/>
  <c r="D25" i="4" s="1"/>
  <c r="B12" i="4"/>
  <c r="C11" i="4"/>
  <c r="I11" i="4" s="1"/>
  <c r="C10" i="4"/>
  <c r="I10" i="4" s="1"/>
  <c r="C9" i="4"/>
  <c r="F9" i="4" s="1"/>
  <c r="C8" i="4"/>
  <c r="F8" i="4" s="1"/>
  <c r="C7" i="4"/>
  <c r="J29" i="3"/>
  <c r="N29" i="3"/>
  <c r="C11" i="3"/>
  <c r="C10" i="3"/>
  <c r="C9" i="3"/>
  <c r="C8" i="3"/>
  <c r="C7" i="3"/>
  <c r="I7" i="3" s="1"/>
  <c r="H12" i="4" l="1"/>
  <c r="I9" i="4"/>
  <c r="F10" i="4"/>
  <c r="C12" i="4"/>
  <c r="F7" i="4"/>
  <c r="I7" i="4"/>
  <c r="I8" i="4"/>
  <c r="F11" i="4"/>
  <c r="D29" i="4"/>
  <c r="G12" i="4"/>
  <c r="L26" i="3"/>
  <c r="L28" i="3"/>
  <c r="L30" i="3"/>
  <c r="F12" i="4" l="1"/>
  <c r="C26" i="4" s="1"/>
  <c r="D26" i="4" s="1"/>
  <c r="I12" i="4"/>
  <c r="J12" i="4"/>
  <c r="C28" i="4" s="1"/>
  <c r="D28" i="4" s="1"/>
  <c r="O29" i="3"/>
  <c r="G30" i="3"/>
  <c r="M28" i="3"/>
  <c r="D28" i="3" s="1"/>
  <c r="C28" i="3" s="1"/>
  <c r="C31" i="3" s="1"/>
  <c r="M26" i="3"/>
  <c r="B12" i="3"/>
  <c r="F11" i="3"/>
  <c r="I10" i="3"/>
  <c r="F9" i="3"/>
  <c r="I8" i="3"/>
  <c r="J45" i="2"/>
  <c r="J44" i="2"/>
  <c r="B12" i="2"/>
  <c r="I11" i="2"/>
  <c r="C11" i="2"/>
  <c r="F11" i="2" s="1"/>
  <c r="C10" i="2"/>
  <c r="I10" i="2" s="1"/>
  <c r="C9" i="2"/>
  <c r="I9" i="2" s="1"/>
  <c r="C8" i="2"/>
  <c r="I8" i="2" s="1"/>
  <c r="C7" i="2"/>
  <c r="G12" i="2" s="1"/>
  <c r="B12" i="1"/>
  <c r="C11" i="1"/>
  <c r="C10" i="1"/>
  <c r="C9" i="1"/>
  <c r="C8" i="1"/>
  <c r="C7" i="1"/>
  <c r="J29" i="1"/>
  <c r="N36" i="2"/>
  <c r="O36" i="2" s="1"/>
  <c r="L35" i="2"/>
  <c r="M35" i="2" s="1"/>
  <c r="O34" i="2"/>
  <c r="L34" i="2"/>
  <c r="L33" i="2"/>
  <c r="L32" i="2"/>
  <c r="L31" i="2"/>
  <c r="L29" i="2"/>
  <c r="M29" i="2" s="1"/>
  <c r="L28" i="2"/>
  <c r="M28" i="2" s="1"/>
  <c r="F44" i="1"/>
  <c r="J44" i="1" s="1"/>
  <c r="J47" i="2"/>
  <c r="E47" i="2"/>
  <c r="I47" i="2" s="1"/>
  <c r="D47" i="2"/>
  <c r="H47" i="2" s="1"/>
  <c r="D46" i="2"/>
  <c r="E46" i="2" s="1"/>
  <c r="D45" i="2"/>
  <c r="E45" i="2" s="1"/>
  <c r="I45" i="2" s="1"/>
  <c r="D44" i="2"/>
  <c r="E44" i="2" s="1"/>
  <c r="I44" i="2" s="1"/>
  <c r="J43" i="2"/>
  <c r="I43" i="2"/>
  <c r="H43" i="2"/>
  <c r="J42" i="2"/>
  <c r="I42" i="2"/>
  <c r="H42" i="2"/>
  <c r="J31" i="2"/>
  <c r="I44" i="1"/>
  <c r="D44" i="1"/>
  <c r="H44" i="1" s="1"/>
  <c r="D43" i="1"/>
  <c r="E43" i="1" s="1"/>
  <c r="C43" i="1"/>
  <c r="D42" i="1"/>
  <c r="E42" i="1" s="1"/>
  <c r="C42" i="1"/>
  <c r="J41" i="1"/>
  <c r="I41" i="1"/>
  <c r="H41" i="1"/>
  <c r="J40" i="1"/>
  <c r="I40" i="1"/>
  <c r="H40" i="1"/>
  <c r="I37" i="1"/>
  <c r="H37" i="1"/>
  <c r="L35" i="1"/>
  <c r="M35" i="1" s="1"/>
  <c r="Q35" i="1" s="1"/>
  <c r="E35" i="1" s="1"/>
  <c r="O34" i="1"/>
  <c r="N34" i="1"/>
  <c r="L33" i="1"/>
  <c r="M33" i="1" s="1"/>
  <c r="O32" i="1"/>
  <c r="L32" i="1"/>
  <c r="M32" i="1" s="1"/>
  <c r="Q32" i="1" s="1"/>
  <c r="L31" i="1"/>
  <c r="L30" i="1"/>
  <c r="L29" i="1"/>
  <c r="L27" i="1"/>
  <c r="M27" i="1" s="1"/>
  <c r="Q27" i="1" s="1"/>
  <c r="C27" i="1" s="1"/>
  <c r="L26" i="1"/>
  <c r="M26" i="1" s="1"/>
  <c r="Q26" i="1" s="1"/>
  <c r="C26" i="1" s="1"/>
  <c r="J35" i="1" l="1"/>
  <c r="I35" i="1"/>
  <c r="H35" i="1"/>
  <c r="J28" i="3"/>
  <c r="E26" i="3"/>
  <c r="I26" i="3" s="1"/>
  <c r="M30" i="3"/>
  <c r="D30" i="3" s="1"/>
  <c r="E30" i="3" s="1"/>
  <c r="C12" i="3"/>
  <c r="I9" i="3"/>
  <c r="G33" i="1"/>
  <c r="I43" i="1"/>
  <c r="F10" i="3"/>
  <c r="G12" i="3"/>
  <c r="F7" i="3"/>
  <c r="H12" i="3"/>
  <c r="I11" i="3"/>
  <c r="F8" i="3"/>
  <c r="H31" i="2"/>
  <c r="F9" i="2"/>
  <c r="F10" i="2"/>
  <c r="H12" i="2"/>
  <c r="C12" i="2"/>
  <c r="F7" i="2"/>
  <c r="I7" i="2"/>
  <c r="F8" i="2"/>
  <c r="C12" i="1"/>
  <c r="M31" i="2"/>
  <c r="G35" i="2"/>
  <c r="E29" i="1"/>
  <c r="I29" i="1" s="1"/>
  <c r="H29" i="1"/>
  <c r="J28" i="2"/>
  <c r="I28" i="2"/>
  <c r="H28" i="2"/>
  <c r="J32" i="2"/>
  <c r="I32" i="2"/>
  <c r="H32" i="2"/>
  <c r="J35" i="2"/>
  <c r="I35" i="2"/>
  <c r="H35" i="2"/>
  <c r="H30" i="1"/>
  <c r="I30" i="1"/>
  <c r="J30" i="1"/>
  <c r="J33" i="2"/>
  <c r="I33" i="2"/>
  <c r="H33" i="2"/>
  <c r="J31" i="1"/>
  <c r="I31" i="1"/>
  <c r="H31" i="1"/>
  <c r="J29" i="2"/>
  <c r="I29" i="2"/>
  <c r="H29" i="2"/>
  <c r="J32" i="1"/>
  <c r="G43" i="1"/>
  <c r="G42" i="1"/>
  <c r="I32" i="1"/>
  <c r="H32" i="1"/>
  <c r="G32" i="1"/>
  <c r="J33" i="1"/>
  <c r="I33" i="1"/>
  <c r="H33" i="1"/>
  <c r="G45" i="2"/>
  <c r="G34" i="2"/>
  <c r="J34" i="2"/>
  <c r="I34" i="2"/>
  <c r="G44" i="2"/>
  <c r="H34" i="2"/>
  <c r="I26" i="1"/>
  <c r="H26" i="1"/>
  <c r="J26" i="1"/>
  <c r="J27" i="1"/>
  <c r="I27" i="1"/>
  <c r="H27" i="1"/>
  <c r="I42" i="1"/>
  <c r="J42" i="1"/>
  <c r="J43" i="1"/>
  <c r="H45" i="2"/>
  <c r="H44" i="2"/>
  <c r="E31" i="2"/>
  <c r="I31" i="2" s="1"/>
  <c r="M29" i="1"/>
  <c r="H42" i="1"/>
  <c r="H43" i="1"/>
  <c r="H22" i="4" l="1"/>
  <c r="E22" i="4"/>
  <c r="I22" i="4" s="1"/>
  <c r="I30" i="3"/>
  <c r="H30" i="3"/>
  <c r="J30" i="3"/>
  <c r="J26" i="3"/>
  <c r="J31" i="3" s="1"/>
  <c r="H26" i="3"/>
  <c r="H28" i="3"/>
  <c r="E28" i="3"/>
  <c r="I28" i="3" s="1"/>
  <c r="F12" i="3"/>
  <c r="L27" i="3" s="1"/>
  <c r="M27" i="3" s="1"/>
  <c r="C27" i="3" s="1"/>
  <c r="J12" i="3"/>
  <c r="L29" i="3" s="1"/>
  <c r="M29" i="3" s="1"/>
  <c r="I12" i="3"/>
  <c r="F12" i="2"/>
  <c r="L30" i="2" s="1"/>
  <c r="M30" i="2" s="1"/>
  <c r="L36" i="2"/>
  <c r="I12" i="2"/>
  <c r="H27" i="3" l="1"/>
  <c r="J27" i="3"/>
  <c r="I27" i="3"/>
  <c r="H29" i="3"/>
  <c r="H31" i="3" s="1"/>
  <c r="I29" i="3"/>
  <c r="I31" i="3" s="1"/>
  <c r="C49" i="2"/>
  <c r="I36" i="2"/>
  <c r="H36" i="2"/>
  <c r="J36" i="2"/>
  <c r="I30" i="2"/>
  <c r="H30" i="2"/>
  <c r="J30" i="2"/>
  <c r="F9" i="1"/>
  <c r="I9" i="1"/>
  <c r="F11" i="1"/>
  <c r="I11" i="1"/>
  <c r="I8" i="1"/>
  <c r="F10" i="1"/>
  <c r="I10" i="1"/>
  <c r="I7" i="1"/>
  <c r="F7" i="1"/>
  <c r="J49" i="2" l="1"/>
  <c r="H49" i="2"/>
  <c r="I49" i="2"/>
  <c r="G12" i="1"/>
  <c r="I12" i="1"/>
  <c r="L34" i="1"/>
  <c r="F8" i="1"/>
  <c r="F12" i="1" s="1"/>
  <c r="H12" i="1"/>
  <c r="L28" i="1" l="1"/>
  <c r="M28" i="1" s="1"/>
  <c r="C46" i="1" s="1"/>
  <c r="H34" i="1"/>
  <c r="J34" i="1"/>
  <c r="I34" i="1"/>
  <c r="H28" i="1" l="1"/>
  <c r="J28" i="1"/>
  <c r="J46" i="1" s="1"/>
  <c r="I28" i="1"/>
  <c r="H46" i="1"/>
  <c r="I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tc={00F40053-0094-4857-AB91-00FA000B006B}</author>
    <author>tc={00130000-0096-4688-8B03-008800F90015}</author>
  </authors>
  <commentList>
    <comment ref="A27" authorId="0" shapeId="0" xr:uid="{00F40053-0094-4857-AB91-00FA000B006B}">
      <text>
        <r>
          <rPr>
            <b/>
            <sz val="9"/>
            <rFont val="Tahoma"/>
            <family val="2"/>
          </rPr>
          <t>tc={50E778BB-5AA0-86AC-C87E-35580F875033}:</t>
        </r>
        <r>
          <rPr>
            <sz val="9"/>
            <rFont val="Tahoma"/>
            <family val="2"/>
          </rPr>
          <t xml:space="preserve">
Василий Попов:
AD connector на одной из APPS VM
</t>
        </r>
      </text>
    </comment>
    <comment ref="E40" authorId="1" shapeId="0" xr:uid="{00130000-0096-4688-8B03-008800F90015}">
      <text>
        <r>
          <rPr>
            <b/>
            <sz val="9"/>
            <rFont val="Tahoma"/>
            <family val="2"/>
          </rPr>
          <t>tc={01F9FFB9-1722-D8A5-B513-68957C289289}:</t>
        </r>
        <r>
          <rPr>
            <sz val="9"/>
            <rFont val="Tahoma"/>
            <family val="2"/>
          </rPr>
          <t xml:space="preserve">
Василий Попов:
OpenSearch на Астра линукс требует 6vcpu / 16ram для комфортной работы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tc={001F006A-00D9-4C80-8221-00D900EA00CE}</author>
  </authors>
  <commentList>
    <comment ref="E42" authorId="0" shapeId="0" xr:uid="{001F006A-00D9-4C80-8221-00D900EA00CE}">
      <text>
        <r>
          <rPr>
            <b/>
            <sz val="9"/>
            <color rgb="FF000000"/>
            <rFont val="Tahoma"/>
            <family val="2"/>
          </rPr>
          <t>tc={01F9FFB9-1722-D8A5-B513-68957C289289}: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Василий Попов:
</t>
        </r>
        <r>
          <rPr>
            <sz val="9"/>
            <color rgb="FF000000"/>
            <rFont val="Tahoma"/>
            <family val="2"/>
          </rPr>
          <t xml:space="preserve">OpenSearch на Астра линукс требует 6vcpu / 16ram для комфортной работы
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<sst xmlns="http://schemas.openxmlformats.org/spreadsheetml/2006/main" count="313" uniqueCount="123">
  <si>
    <t>Зеленым отмечены поля для заполнения</t>
  </si>
  <si>
    <t>Участников конференций в пике</t>
  </si>
  <si>
    <t xml:space="preserve">Пользователей одновременно подключающихся к конференциям извне </t>
  </si>
  <si>
    <t>Пользователей одновременно смотрят видео на портале DION Video</t>
  </si>
  <si>
    <t xml:space="preserve">Загруженных пользователями на портал новых видеозаписей в сутки (в часах) </t>
  </si>
  <si>
    <t>Максимальное количество одновременных пользователей онлайн во всех разделах системы суммарно</t>
  </si>
  <si>
    <t>Виды конференций и распределение</t>
  </si>
  <si>
    <t>Профиль конференции</t>
  </si>
  <si>
    <t>Процент пользователей в конференции данного типа</t>
  </si>
  <si>
    <t>Пользователей</t>
  </si>
  <si>
    <t>Размер конференции (среднее кол-во одновременных участников)</t>
  </si>
  <si>
    <t>Микрофоны на конференцию</t>
  </si>
  <si>
    <t>Микрофонов всего</t>
  </si>
  <si>
    <t>Видео %</t>
  </si>
  <si>
    <t>Контент %</t>
  </si>
  <si>
    <t>Кол-во конференций</t>
  </si>
  <si>
    <t>Запись %</t>
  </si>
  <si>
    <t>тип1 (2 польз)</t>
  </si>
  <si>
    <t>тип2 (3-5 польз)</t>
  </si>
  <si>
    <t>тип3 (6-10 польз)</t>
  </si>
  <si>
    <t>тип4 (10-30 польз)</t>
  </si>
  <si>
    <t>тип 5 (30+ польз)</t>
  </si>
  <si>
    <t>total</t>
  </si>
  <si>
    <t>Стенд Enterprise HA, рассчитанный исходя из:</t>
  </si>
  <si>
    <t>/дата/</t>
  </si>
  <si>
    <t>• 2 ЦОД + 1 площадка для кворума инфраструктуры</t>
  </si>
  <si>
    <t xml:space="preserve">• Учитывается пиковая утилизация всех VM приложений в 2 ЦОДа, потеря 1 ЦОД приведет к деградации сервиса на 50% </t>
  </si>
  <si>
    <t>• Учитываются требования ПО DION + самой ОС на каждой из VM</t>
  </si>
  <si>
    <t>• Высоконагруженные сервисы изолированы на уровне VM</t>
  </si>
  <si>
    <t>кол-во в 2 ЦОД</t>
  </si>
  <si>
    <t>vCPU</t>
  </si>
  <si>
    <t>RAM (GB)</t>
  </si>
  <si>
    <t>disk (GB)</t>
  </si>
  <si>
    <t>bandwidth per instance (Mbit/sec)</t>
  </si>
  <si>
    <t>суммарно vCPU</t>
  </si>
  <si>
    <t>суммарно RAM</t>
  </si>
  <si>
    <t>суммарно disk</t>
  </si>
  <si>
    <t>приложения</t>
  </si>
  <si>
    <t>CHATS</t>
  </si>
  <si>
    <t>APPS</t>
  </si>
  <si>
    <t>MEDIA</t>
  </si>
  <si>
    <t xml:space="preserve">100 активностей 1 vCPU </t>
  </si>
  <si>
    <t>SIP SERVER</t>
  </si>
  <si>
    <t>1 vCPU на 6 вызовов</t>
  </si>
  <si>
    <t>SIP TRANSLATOR</t>
  </si>
  <si>
    <t>1,5 vCPU на 1 вызов</t>
  </si>
  <si>
    <t>SIP TRANSCODER</t>
  </si>
  <si>
    <t>VIDEO</t>
  </si>
  <si>
    <t>TURN</t>
  </si>
  <si>
    <t>RECORD</t>
  </si>
  <si>
    <t>User LB</t>
  </si>
  <si>
    <t>Сервисы инфраструктуры</t>
  </si>
  <si>
    <t>setupvm</t>
  </si>
  <si>
    <t>minio (S3)</t>
  </si>
  <si>
    <t>Redis</t>
  </si>
  <si>
    <t>Postgresql</t>
  </si>
  <si>
    <t>Consul</t>
  </si>
  <si>
    <t>Kafka</t>
  </si>
  <si>
    <t>Используется</t>
  </si>
  <si>
    <t>инфраструктура</t>
  </si>
  <si>
    <t>logvm</t>
  </si>
  <si>
    <t>RAM</t>
  </si>
  <si>
    <t>monitoringvm</t>
  </si>
  <si>
    <t>infravm1 основная</t>
  </si>
  <si>
    <t>minio + redis + postresql + consul + kafka</t>
  </si>
  <si>
    <t>infravm2 S3</t>
  </si>
  <si>
    <t xml:space="preserve">minio </t>
  </si>
  <si>
    <t>infravm3 кворум</t>
  </si>
  <si>
    <t>redis + postresql + consul + kafka</t>
  </si>
  <si>
    <t>Итого</t>
  </si>
  <si>
    <t>участников конференций в пике</t>
  </si>
  <si>
    <t>Стенд Standard HA, рассчитанный исходя из:</t>
  </si>
  <si>
    <t>! Если калькулятор (столбец C, строки 28-37) рекомендует 1 копию VM, необходимо разделить ее рекомендованные ресурсы (столбец D и E) на 2 машины поровну и развернуть 2 VM поменьше вместо одной большой.</t>
  </si>
  <si>
    <t>• Учитывается пиковая утилизация всех VM приложений , потеря 1 прикладной VM  приведет к пропорциональной деградации соответствующего сервиса</t>
  </si>
  <si>
    <t>кол-во</t>
  </si>
  <si>
    <t>infravm1</t>
  </si>
  <si>
    <t>infravm2</t>
  </si>
  <si>
    <t>infra vm3</t>
  </si>
  <si>
    <t>infravm4</t>
  </si>
  <si>
    <t>minio</t>
  </si>
  <si>
    <t>Infra LB</t>
  </si>
  <si>
    <t>Диск резервируется на всех 4 infra VM с S3 в объеме равном необходимому полезному дисковому пространству, разделенному пополам</t>
  </si>
  <si>
    <t>Записей конференций в сутки (в часах)
Для примерной оценки можно взять значение ячейки J12 и умножить его на 6 или 8 (6 или 8 рабочих часов с пиковой нагрузкой по записям)</t>
  </si>
  <si>
    <t>Сколько прикладных нод каждого типа дополнительно ставится на каждой площадке для избыточной отказоустойчивости? Например, для N+1 на КАЖДОЙ из площадок выберите 1, для N+2 выберите 2. По умолчанию избыточность не закладывается. Расчет делается таким образом, что суммарная нагрузка на 2 ЦОД (работают в режиме Active-Active) равна требуемой нагрузке на систему. Потеря одной ноды в любом из ЦОД пропорционально снижает допустимую нагрузку. Потеря ЦОД целиком влечет деградацию производительности на 50%.</t>
  </si>
  <si>
    <t>Требуемая нагрузка (в условных единицах - могут быть пользователи, кол-во звонков или записей и т.д.)</t>
  </si>
  <si>
    <t>Минимально необходимое количество vCPU, чтобы выдержать требуемую нагрузку</t>
  </si>
  <si>
    <t>Как рассчитывается кол-во ядер</t>
  </si>
  <si>
    <t>1 vCPU на 250 пользователей</t>
  </si>
  <si>
    <t>1 vCPU на 2 вызова</t>
  </si>
  <si>
    <t>1 vCPU на 250 пользователей.
Для обработки 6 загруженных на портал записей длиной час за сутки требуется 1 дополнительный vCPU</t>
  </si>
  <si>
    <t>Минимально необходимое количество vCPU для обработки записей и видео</t>
  </si>
  <si>
    <t>Требуемая нагрузка для обработки видео</t>
  </si>
  <si>
    <t>2 vCPU на одну запись конференции.
Запись длиной 1 час занимает 1 Гб на диске.
Для обработки 6 часовых записей в сутки требуется 1 дополнительный vCPU.</t>
  </si>
  <si>
    <t>Не уменьшайте размер диска.</t>
  </si>
  <si>
    <t>Допустимо уменьшение размера VM с синими ячейками.
Минимально допустимый размер VM: 2 vCPU, 4 Gb RAM.</t>
  </si>
  <si>
    <t>Профиль конференции задается средним количеством пользователей в конференции, процентом включенных микрофонов, камер, демонстраций экрана, активных записей. Можно изменить набор типов.
Значения по умолчанию взяты из статистики по облаку.</t>
  </si>
  <si>
    <t xml:space="preserve">• Калькулятор считает минимальные требования без избыточности! Для отказоустойчивости необходимо иметь минимум 2 активные копии каждой VM. </t>
  </si>
  <si>
    <t>Одновременных SIP подключений</t>
  </si>
  <si>
    <t>одновременных SIP подключений</t>
  </si>
  <si>
    <t>Если известно максимальное количество одновременно ведущихся записей конференций в пике, можно указать это значение вручную в красной ячейке. Это значение влияет на масштабирование сервисов записей для поддержки нагрузки в пике.
Исходная формула в ячейке =ОКРУГЛВВЕРХ(I7*J7/100+I8*J8/100+I9*J9/100+I10*J10/100+I11*J11/100;0)</t>
  </si>
  <si>
    <t>Глубина хранения файлов в чатах, видеозаписей, записей конференций (в днях)</t>
  </si>
  <si>
    <t>0,15G Gb/usr в год на аудит и сообщения, 0,25Gb/usr в год файлы в чатах + по 1 Гб на час записи.</t>
  </si>
  <si>
    <t>Стенд Basic, рассчитанный исходя из:</t>
  </si>
  <si>
    <t>• Отказоустойчивость не предусмотрена</t>
  </si>
  <si>
    <t>BASIC VM</t>
  </si>
  <si>
    <t>2 vCPU на 1 вызов</t>
  </si>
  <si>
    <t>SIP</t>
  </si>
  <si>
    <t>• Все VM, кроме TURN (так как он расположен в DMZ), могут быть объединены в одну. Ресурсы, рекомендованные калькулятором, при этом должны суммироваться.</t>
  </si>
  <si>
    <t>Допустимо уменьшение или увеличение размера VM с синими ячейками. Количество vCPU не должно быть ниже минимально необходимого (ячейки M26-M30)
Минимально допустимый размер VM: 2 vCPU, 4 Gb RAM.</t>
  </si>
  <si>
    <t>ALL IN ONE VM</t>
  </si>
  <si>
    <t>Basic</t>
  </si>
  <si>
    <t>Media</t>
  </si>
  <si>
    <t>Record</t>
  </si>
  <si>
    <t>• Архитектура All in one не рекомендуется для лабораторных работ и пилотных стендов</t>
  </si>
  <si>
    <t>Если известно максимальное количество одновременно ведущихся записей конференций в пике, можно указать это значение вручную в красной ячейке. Это значение влияет на масштабирование сервисов записей для поддержки нагрузки в пике. По умолчанию 3 одновременные записи считается минимальным значением.
Исходная формула в ячейке =ОКРУГЛВВЕРХ(I7*J7/100+I8*J8/100+I9*J9/100+I10*J10/100+I11*J11/100;0)</t>
  </si>
  <si>
    <t>Процент пользователей с включенными камерами %</t>
  </si>
  <si>
    <t>Пользователей с включенными микрофонами в конференции в среднем (шт)</t>
  </si>
  <si>
    <t>Процент конференций, где ведется демонстрация экрана %</t>
  </si>
  <si>
    <t>Процент конференций с записью %</t>
  </si>
  <si>
    <t>Рекоиндованное количество зарезервированных  vCPU на каждой машине для обработки видео</t>
  </si>
  <si>
    <t>Минимально необходимое количество vCPU без учета зарезервированных vCPU</t>
  </si>
  <si>
    <t>1 vCPU на 1000 пользователей, один балансировщик в каждом ЦОД является Standby по умолчанию. 
При наличии GSLB или иного механизма балансировки, можно использовать все экземпляры в активном режиме и перераспределить выделенные калькулятором ресурсы.</t>
  </si>
  <si>
    <t>1 vCPU на 1000 пользователей, один балансировщик является Standby по умолчанию. 
При наличии GSLB или иного механизма балансировки, можно использовать все экземпляры в активном режиме и перераспределить выделенные калькулятором ресурсы.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</si>
</sst>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rgb="FF9C57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2"/>
      <name val="Calibri"/>
      <family val="2"/>
    </font>
    <font>
      <sz val="10"/>
      <color theme="1"/>
      <name val="Arial"/>
      <family val="2"/>
    </font>
    <font>
      <b/>
      <sz val="12"/>
      <name val="Calibri"/>
      <family val="2"/>
    </font>
    <font>
      <sz val="10"/>
      <name val="JetBrains Mono"/>
    </font>
    <font>
      <b/>
      <sz val="10"/>
      <color theme="1"/>
      <name val="Arial"/>
      <family val="2"/>
    </font>
    <font>
      <b/>
      <sz val="10"/>
      <name val="JetBrains Mono"/>
    </font>
    <font>
      <b/>
      <sz val="12"/>
      <color theme="1"/>
      <name val="Calibri"/>
      <family val="2"/>
      <scheme val="minor"/>
    </font>
    <font>
      <sz val="12"/>
      <color indexed="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5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auto="1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auto="1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medium">
        <color auto="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medium">
        <color auto="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auto="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</borders>
  <cellStyleXfs count="8">
    <xf numFmtId="0" fontId="0" fillId="0" borderId="0"/>
    <xf numFmtId="0" fontId="14" fillId="2" borderId="0" applyNumberFormat="0" applyBorder="0" applyProtection="0"/>
    <xf numFmtId="0" fontId="2" fillId="3" borderId="0" applyNumberFormat="0" applyBorder="0" applyProtection="0"/>
    <xf numFmtId="0" fontId="3" fillId="4" borderId="0" applyNumberFormat="0" applyBorder="0" applyProtection="0"/>
    <xf numFmtId="0" fontId="4" fillId="5" borderId="0" applyNumberFormat="0" applyBorder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wrapText="1"/>
    </xf>
    <xf numFmtId="1" fontId="4" fillId="5" borderId="0" xfId="4" applyNumberFormat="1" applyAlignment="1">
      <alignment horizontal="right"/>
    </xf>
    <xf numFmtId="1" fontId="4" fillId="5" borderId="0" xfId="4" applyNumberFormat="1" applyAlignment="1">
      <alignment horizontal="left"/>
    </xf>
    <xf numFmtId="0" fontId="7" fillId="0" borderId="0" xfId="0" applyFont="1" applyAlignment="1">
      <alignment wrapText="1"/>
    </xf>
    <xf numFmtId="1" fontId="4" fillId="5" borderId="0" xfId="4" applyNumberFormat="1" applyAlignment="1">
      <alignment horizontal="left" wrapText="1"/>
    </xf>
    <xf numFmtId="0" fontId="0" fillId="0" borderId="0" xfId="0" applyAlignment="1">
      <alignment wrapText="1"/>
    </xf>
    <xf numFmtId="0" fontId="4" fillId="5" borderId="0" xfId="4"/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2" xfId="0" applyBorder="1"/>
    <xf numFmtId="1" fontId="4" fillId="5" borderId="2" xfId="4" applyNumberFormat="1" applyBorder="1" applyAlignment="1">
      <alignment horizontal="right" wrapText="1"/>
    </xf>
    <xf numFmtId="1" fontId="6" fillId="0" borderId="2" xfId="0" applyNumberFormat="1" applyFont="1" applyBorder="1" applyAlignment="1">
      <alignment horizontal="right" wrapText="1"/>
    </xf>
    <xf numFmtId="1" fontId="4" fillId="5" borderId="2" xfId="4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1" fontId="3" fillId="4" borderId="2" xfId="3" applyNumberFormat="1" applyBorder="1" applyAlignment="1">
      <alignment horizontal="right" wrapText="1"/>
    </xf>
    <xf numFmtId="1" fontId="0" fillId="0" borderId="0" xfId="0" applyNumberFormat="1"/>
    <xf numFmtId="0" fontId="2" fillId="3" borderId="0" xfId="2"/>
    <xf numFmtId="0" fontId="9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0" fillId="0" borderId="8" xfId="0" applyBorder="1"/>
    <xf numFmtId="0" fontId="9" fillId="0" borderId="7" xfId="0" applyFont="1" applyBorder="1" applyAlignment="1">
      <alignment wrapText="1"/>
    </xf>
    <xf numFmtId="0" fontId="0" fillId="6" borderId="2" xfId="0" applyFill="1" applyBorder="1"/>
    <xf numFmtId="1" fontId="0" fillId="6" borderId="2" xfId="0" applyNumberFormat="1" applyFill="1" applyBorder="1"/>
    <xf numFmtId="1" fontId="2" fillId="3" borderId="2" xfId="2" applyNumberFormat="1" applyBorder="1"/>
    <xf numFmtId="1" fontId="0" fillId="0" borderId="2" xfId="0" applyNumberFormat="1" applyBorder="1"/>
    <xf numFmtId="1" fontId="0" fillId="0" borderId="8" xfId="0" applyNumberFormat="1" applyBorder="1"/>
    <xf numFmtId="0" fontId="0" fillId="0" borderId="7" xfId="0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2" xfId="0" applyFont="1" applyBorder="1"/>
    <xf numFmtId="1" fontId="7" fillId="0" borderId="2" xfId="0" applyNumberFormat="1" applyFont="1" applyBorder="1"/>
    <xf numFmtId="1" fontId="7" fillId="0" borderId="8" xfId="0" applyNumberFormat="1" applyFont="1" applyBorder="1"/>
    <xf numFmtId="0" fontId="7" fillId="0" borderId="0" xfId="0" applyFont="1"/>
    <xf numFmtId="0" fontId="0" fillId="0" borderId="10" xfId="0" applyBorder="1" applyAlignment="1">
      <alignment wrapText="1"/>
    </xf>
    <xf numFmtId="0" fontId="0" fillId="0" borderId="11" xfId="0" applyBorder="1"/>
    <xf numFmtId="1" fontId="2" fillId="3" borderId="12" xfId="2" applyNumberFormat="1" applyBorder="1"/>
    <xf numFmtId="1" fontId="2" fillId="3" borderId="11" xfId="2" applyNumberFormat="1" applyBorder="1"/>
    <xf numFmtId="1" fontId="0" fillId="0" borderId="11" xfId="0" applyNumberFormat="1" applyBorder="1"/>
    <xf numFmtId="1" fontId="0" fillId="0" borderId="13" xfId="0" applyNumberFormat="1" applyBorder="1"/>
    <xf numFmtId="0" fontId="0" fillId="0" borderId="14" xfId="0" applyBorder="1" applyAlignment="1">
      <alignment wrapText="1"/>
    </xf>
    <xf numFmtId="1" fontId="0" fillId="0" borderId="15" xfId="0" applyNumberFormat="1" applyBorder="1"/>
    <xf numFmtId="0" fontId="10" fillId="0" borderId="16" xfId="0" applyFont="1" applyBorder="1" applyAlignment="1">
      <alignment wrapText="1"/>
    </xf>
    <xf numFmtId="0" fontId="0" fillId="0" borderId="17" xfId="0" applyBorder="1"/>
    <xf numFmtId="1" fontId="0" fillId="0" borderId="17" xfId="0" applyNumberFormat="1" applyBorder="1"/>
    <xf numFmtId="1" fontId="0" fillId="0" borderId="18" xfId="0" applyNumberFormat="1" applyBorder="1"/>
    <xf numFmtId="0" fontId="9" fillId="0" borderId="5" xfId="0" applyFont="1" applyBorder="1"/>
    <xf numFmtId="1" fontId="2" fillId="3" borderId="5" xfId="2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9" fillId="0" borderId="2" xfId="0" applyFont="1" applyBorder="1"/>
    <xf numFmtId="1" fontId="3" fillId="4" borderId="2" xfId="3" applyNumberFormat="1" applyBorder="1"/>
    <xf numFmtId="0" fontId="3" fillId="4" borderId="0" xfId="3" applyAlignment="1">
      <alignment wrapText="1"/>
    </xf>
    <xf numFmtId="0" fontId="2" fillId="3" borderId="0" xfId="2" applyAlignment="1">
      <alignment wrapText="1"/>
    </xf>
    <xf numFmtId="0" fontId="9" fillId="0" borderId="10" xfId="0" applyFont="1" applyBorder="1" applyAlignment="1">
      <alignment wrapText="1"/>
    </xf>
    <xf numFmtId="0" fontId="9" fillId="0" borderId="11" xfId="0" applyFont="1" applyBorder="1"/>
    <xf numFmtId="0" fontId="13" fillId="2" borderId="19" xfId="1" applyFont="1" applyBorder="1"/>
    <xf numFmtId="1" fontId="13" fillId="2" borderId="20" xfId="1" applyNumberFormat="1" applyFont="1" applyBorder="1"/>
    <xf numFmtId="1" fontId="13" fillId="2" borderId="21" xfId="1" applyNumberFormat="1" applyFont="1" applyBorder="1"/>
    <xf numFmtId="0" fontId="10" fillId="0" borderId="0" xfId="0" applyFont="1"/>
    <xf numFmtId="1" fontId="2" fillId="3" borderId="0" xfId="2" applyNumberFormat="1"/>
    <xf numFmtId="0" fontId="9" fillId="0" borderId="22" xfId="0" applyFont="1" applyBorder="1" applyAlignment="1">
      <alignment wrapText="1"/>
    </xf>
    <xf numFmtId="0" fontId="9" fillId="0" borderId="23" xfId="0" applyFont="1" applyBorder="1"/>
    <xf numFmtId="1" fontId="0" fillId="0" borderId="23" xfId="0" applyNumberFormat="1" applyBorder="1"/>
    <xf numFmtId="1" fontId="0" fillId="0" borderId="24" xfId="0" applyNumberFormat="1" applyBorder="1"/>
    <xf numFmtId="1" fontId="2" fillId="3" borderId="23" xfId="2" applyNumberFormat="1" applyBorder="1"/>
    <xf numFmtId="0" fontId="0" fillId="0" borderId="25" xfId="0" applyBorder="1"/>
    <xf numFmtId="0" fontId="13" fillId="2" borderId="26" xfId="1" applyFont="1" applyBorder="1"/>
    <xf numFmtId="0" fontId="14" fillId="2" borderId="27" xfId="1" applyBorder="1"/>
    <xf numFmtId="1" fontId="17" fillId="2" borderId="19" xfId="1" applyNumberFormat="1" applyFont="1" applyBorder="1"/>
    <xf numFmtId="0" fontId="14" fillId="0" borderId="7" xfId="0" applyFont="1" applyBorder="1" applyAlignment="1">
      <alignment wrapText="1"/>
    </xf>
    <xf numFmtId="0" fontId="14" fillId="0" borderId="0" xfId="0" applyFont="1" applyAlignment="1">
      <alignment wrapText="1"/>
    </xf>
    <xf numFmtId="1" fontId="1" fillId="9" borderId="2" xfId="7" applyNumberFormat="1" applyBorder="1"/>
    <xf numFmtId="0" fontId="2" fillId="3" borderId="2" xfId="2" applyBorder="1" applyAlignment="1">
      <alignment wrapText="1"/>
    </xf>
    <xf numFmtId="1" fontId="1" fillId="7" borderId="2" xfId="5" applyNumberFormat="1" applyBorder="1"/>
    <xf numFmtId="0" fontId="14" fillId="0" borderId="0" xfId="0" applyFont="1" applyAlignment="1">
      <alignment horizontal="left" wrapText="1"/>
    </xf>
    <xf numFmtId="0" fontId="18" fillId="0" borderId="7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0" fillId="6" borderId="11" xfId="0" applyFill="1" applyBorder="1"/>
    <xf numFmtId="1" fontId="1" fillId="8" borderId="11" xfId="6" applyNumberFormat="1" applyBorder="1"/>
    <xf numFmtId="1" fontId="1" fillId="8" borderId="13" xfId="6" applyNumberFormat="1" applyBorder="1"/>
    <xf numFmtId="0" fontId="12" fillId="0" borderId="30" xfId="0" applyFont="1" applyBorder="1" applyAlignment="1">
      <alignment wrapText="1"/>
    </xf>
    <xf numFmtId="0" fontId="12" fillId="0" borderId="31" xfId="0" applyFont="1" applyBorder="1" applyAlignment="1">
      <alignment wrapText="1"/>
    </xf>
    <xf numFmtId="0" fontId="12" fillId="0" borderId="32" xfId="0" applyFont="1" applyBorder="1" applyAlignment="1">
      <alignment wrapText="1"/>
    </xf>
    <xf numFmtId="0" fontId="0" fillId="0" borderId="33" xfId="0" applyBorder="1" applyAlignment="1">
      <alignment wrapText="1"/>
    </xf>
    <xf numFmtId="2" fontId="0" fillId="0" borderId="34" xfId="0" applyNumberFormat="1" applyBorder="1"/>
    <xf numFmtId="1" fontId="0" fillId="0" borderId="34" xfId="0" applyNumberFormat="1" applyBorder="1"/>
    <xf numFmtId="0" fontId="0" fillId="0" borderId="34" xfId="0" applyBorder="1"/>
    <xf numFmtId="1" fontId="3" fillId="4" borderId="35" xfId="3" applyNumberFormat="1" applyBorder="1"/>
    <xf numFmtId="0" fontId="7" fillId="0" borderId="33" xfId="0" applyFont="1" applyBorder="1" applyAlignment="1">
      <alignment wrapText="1"/>
    </xf>
    <xf numFmtId="0" fontId="0" fillId="0" borderId="34" xfId="0" applyBorder="1" applyAlignment="1">
      <alignment wrapText="1"/>
    </xf>
    <xf numFmtId="2" fontId="7" fillId="0" borderId="34" xfId="0" applyNumberFormat="1" applyFont="1" applyBorder="1"/>
    <xf numFmtId="0" fontId="7" fillId="0" borderId="36" xfId="0" applyFont="1" applyBorder="1"/>
    <xf numFmtId="0" fontId="0" fillId="0" borderId="36" xfId="0" applyBorder="1"/>
    <xf numFmtId="1" fontId="3" fillId="4" borderId="37" xfId="3" applyNumberFormat="1" applyBorder="1"/>
    <xf numFmtId="0" fontId="0" fillId="0" borderId="38" xfId="0" applyBorder="1" applyAlignment="1">
      <alignment wrapText="1"/>
    </xf>
    <xf numFmtId="2" fontId="0" fillId="0" borderId="39" xfId="0" applyNumberFormat="1" applyBorder="1"/>
    <xf numFmtId="1" fontId="0" fillId="0" borderId="39" xfId="0" applyNumberFormat="1" applyBorder="1"/>
    <xf numFmtId="0" fontId="0" fillId="0" borderId="39" xfId="0" applyBorder="1"/>
    <xf numFmtId="1" fontId="3" fillId="4" borderId="40" xfId="3" applyNumberFormat="1" applyBorder="1"/>
    <xf numFmtId="0" fontId="7" fillId="0" borderId="38" xfId="0" applyFont="1" applyBorder="1" applyAlignment="1">
      <alignment wrapText="1"/>
    </xf>
    <xf numFmtId="0" fontId="0" fillId="0" borderId="39" xfId="0" applyBorder="1" applyAlignment="1">
      <alignment wrapText="1"/>
    </xf>
    <xf numFmtId="2" fontId="7" fillId="0" borderId="39" xfId="0" applyNumberFormat="1" applyFont="1" applyBorder="1"/>
    <xf numFmtId="0" fontId="7" fillId="0" borderId="41" xfId="0" applyFont="1" applyBorder="1" applyAlignment="1">
      <alignment wrapText="1"/>
    </xf>
    <xf numFmtId="0" fontId="7" fillId="0" borderId="42" xfId="0" applyFont="1" applyBorder="1"/>
    <xf numFmtId="0" fontId="14" fillId="0" borderId="42" xfId="0" applyFont="1" applyBorder="1"/>
    <xf numFmtId="0" fontId="0" fillId="0" borderId="42" xfId="0" applyBorder="1"/>
    <xf numFmtId="1" fontId="3" fillId="4" borderId="43" xfId="3" applyNumberFormat="1" applyBorder="1"/>
    <xf numFmtId="0" fontId="12" fillId="0" borderId="44" xfId="0" applyFont="1" applyBorder="1" applyAlignment="1">
      <alignment wrapText="1"/>
    </xf>
    <xf numFmtId="0" fontId="12" fillId="0" borderId="45" xfId="0" applyFont="1" applyBorder="1" applyAlignment="1">
      <alignment wrapText="1"/>
    </xf>
    <xf numFmtId="0" fontId="12" fillId="0" borderId="46" xfId="0" applyFont="1" applyBorder="1" applyAlignment="1">
      <alignment wrapText="1"/>
    </xf>
    <xf numFmtId="0" fontId="14" fillId="0" borderId="47" xfId="0" applyFont="1" applyBorder="1" applyAlignment="1">
      <alignment wrapText="1"/>
    </xf>
    <xf numFmtId="2" fontId="0" fillId="0" borderId="48" xfId="0" applyNumberFormat="1" applyBorder="1"/>
    <xf numFmtId="1" fontId="0" fillId="0" borderId="48" xfId="0" applyNumberFormat="1" applyBorder="1"/>
    <xf numFmtId="0" fontId="0" fillId="0" borderId="48" xfId="0" applyBorder="1"/>
    <xf numFmtId="1" fontId="3" fillId="4" borderId="49" xfId="3" applyNumberFormat="1" applyBorder="1"/>
    <xf numFmtId="0" fontId="7" fillId="0" borderId="47" xfId="0" applyFont="1" applyBorder="1" applyAlignment="1">
      <alignment wrapText="1"/>
    </xf>
    <xf numFmtId="0" fontId="0" fillId="0" borderId="48" xfId="0" applyBorder="1" applyAlignment="1">
      <alignment wrapText="1"/>
    </xf>
    <xf numFmtId="2" fontId="7" fillId="0" borderId="48" xfId="0" applyNumberFormat="1" applyFont="1" applyBorder="1"/>
    <xf numFmtId="0" fontId="0" fillId="0" borderId="50" xfId="0" applyBorder="1" applyAlignment="1">
      <alignment wrapText="1"/>
    </xf>
    <xf numFmtId="2" fontId="0" fillId="0" borderId="51" xfId="0" applyNumberFormat="1" applyBorder="1"/>
    <xf numFmtId="1" fontId="0" fillId="0" borderId="51" xfId="0" applyNumberFormat="1" applyBorder="1"/>
    <xf numFmtId="0" fontId="0" fillId="0" borderId="51" xfId="0" applyBorder="1"/>
    <xf numFmtId="1" fontId="3" fillId="4" borderId="52" xfId="3" applyNumberFormat="1" applyBorder="1"/>
    <xf numFmtId="0" fontId="14" fillId="0" borderId="48" xfId="0" applyFont="1" applyBorder="1"/>
    <xf numFmtId="0" fontId="0" fillId="0" borderId="53" xfId="0" applyBorder="1"/>
    <xf numFmtId="0" fontId="14" fillId="0" borderId="54" xfId="0" applyFont="1" applyBorder="1"/>
    <xf numFmtId="0" fontId="14" fillId="0" borderId="48" xfId="0" applyFont="1" applyBorder="1" applyAlignment="1">
      <alignment wrapText="1"/>
    </xf>
    <xf numFmtId="0" fontId="7" fillId="0" borderId="48" xfId="0" applyFont="1" applyBorder="1" applyAlignment="1">
      <alignment wrapText="1"/>
    </xf>
    <xf numFmtId="0" fontId="14" fillId="0" borderId="55" xfId="0" applyFont="1" applyBorder="1"/>
    <xf numFmtId="0" fontId="0" fillId="0" borderId="51" xfId="0" applyBorder="1" applyAlignment="1">
      <alignment wrapText="1"/>
    </xf>
    <xf numFmtId="0" fontId="2" fillId="3" borderId="0" xfId="2" applyAlignment="1">
      <alignment horizontal="left"/>
    </xf>
    <xf numFmtId="0" fontId="12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3" borderId="28" xfId="2" applyBorder="1" applyAlignment="1">
      <alignment wrapText="1"/>
    </xf>
    <xf numFmtId="0" fontId="2" fillId="3" borderId="29" xfId="2" applyBorder="1" applyAlignment="1">
      <alignment wrapText="1"/>
    </xf>
    <xf numFmtId="0" fontId="5" fillId="5" borderId="0" xfId="4" applyFont="1" applyAlignment="1">
      <alignment horizontal="center"/>
    </xf>
    <xf numFmtId="0" fontId="4" fillId="5" borderId="0" xfId="4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3" borderId="3" xfId="2" applyBorder="1" applyAlignment="1">
      <alignment horizontal="left" vertical="top" wrapText="1"/>
    </xf>
    <xf numFmtId="0" fontId="3" fillId="4" borderId="0" xfId="3" applyAlignment="1">
      <alignment horizontal="left" wrapText="1"/>
    </xf>
    <xf numFmtId="0" fontId="10" fillId="0" borderId="0" xfId="0" applyFont="1"/>
    <xf numFmtId="0" fontId="7" fillId="0" borderId="0" xfId="0" applyFont="1"/>
  </cellXfs>
  <cellStyles count="8">
    <cellStyle name="20% — акцент1" xfId="5" builtinId="30"/>
    <cellStyle name="20% — акцент5" xfId="7" builtinId="46"/>
    <cellStyle name="40% — акцент1" xfId="6" builtinId="31"/>
    <cellStyle name="40% — акцент5" xfId="1" builtinId="47"/>
    <cellStyle name="Нейтральный" xfId="2" builtinId="28"/>
    <cellStyle name="Обычный" xfId="0" builtinId="0"/>
    <cellStyle name="Плохой" xfId="3" builtinId="27"/>
    <cellStyle name="Хороший" xfId="4" builtinId="26"/>
  </cellStyles>
  <dxfs count="0"/>
  <tableStyles count="0" defaultTableStyle="TableStyleMedium2" defaultPivotStyle="PivotStyleLight16"/>
  <colors>
    <mruColors>
      <color rgb="FFF4B6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c={50E778BB-5AA0-86AC-C87E-35580F875033}" id="{7925F4E6-D03A-A7B8-2004-FBD7A57226C6}"/>
  <person displayName="tc={01F9FFB9-1722-D8A5-B513-68957C289289}" id="{4395408D-706C-73F1-5B58-E8A0FE96C259}"/>
  <person displayName="tc={96C1BB7A-B8A1-6BAE-52FC-D9A58B44952B}" id="{A3FEB9F8-8C06-D5DC-B045-682B89CCFE48}"/>
  <person displayName="tc={6D6DC9E7-BF65-6800-52C4-E690172E6622}" id="{13E2295C-293E-5CB7-34D8-A882E7BF167B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0" personId="{7925F4E6-D03A-A7B8-2004-FBD7A57226C6}" id="{00F40053-0094-4857-AB91-00FA000B006B}" done="0">
    <text xml:space="preserve">Василий Попов:
AD connector на одной из APPS VM
</text>
  </threadedComment>
  <threadedComment ref="E43" personId="{4395408D-706C-73F1-5B58-E8A0FE96C259}" id="{00130000-0096-4688-8B03-008800F90015}" done="0">
    <text xml:space="preserve">Василий Попов:
OpenSearch на Астра линукс требует 6vcpu / 16ram для комфортной работы
</text>
  </threadedComment>
  <threadedComment ref="A45" personId="{A3FEB9F8-8C06-D5DC-B045-682B89CCFE48}" id="{006B0022-00A5-47F0-8779-00C60051009E}" done="0">
    <text xml:space="preserve">Василий Попов:
consul, redis, minio, postgre, kafka, cassandra
</text>
  </threadedComment>
  <threadedComment ref="A46" personId="{13E2295C-293E-5CB7-34D8-A882E7BF167B}" id="{001A00BB-000B-4AAF-8E21-00B600C200C9}" done="0">
    <text xml:space="preserve">Василий Попов:
S3 (minio)
https://developer.harness.io/docs/self-managed-enterprise-edition/advanced-configurations/external-db/use-self-managed-minio-object-storage/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43" personId="{4395408D-706C-73F1-5B58-E8A0FE96C259}" id="{001F006A-00D9-4C80-8221-00D900EA00CE}" done="0">
    <text xml:space="preserve">Василий Попов:
OpenSearch на Астра линукс требует 6vcpu / 16ram для комфортной работы
</text>
  </threadedComment>
  <threadedComment ref="A45" personId="{A3FEB9F8-8C06-D5DC-B045-682B89CCFE48}" id="{009F0085-007D-40D5-8402-005A0030002A}" done="0">
    <text xml:space="preserve">Василий Попов:
consul, redis, minio, postgre, kafka, cassandra
</text>
  </threadedComment>
  <threadedComment ref="A46" personId="{13E2295C-293E-5CB7-34D8-A882E7BF167B}" id="{005D0008-00C0-4947-B0F2-0005003B003F}" done="0">
    <text xml:space="preserve">Василий Попов:
S3 (minio)
https://developer.harness.io/docs/self-managed-enterprise-edition/advanced-configurations/external-db/use-self-managed-minio-object-storage/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opLeftCell="A27" zoomScale="75" workbookViewId="0">
      <selection activeCell="P34" sqref="P34"/>
    </sheetView>
  </sheetViews>
  <sheetFormatPr baseColWidth="10" defaultColWidth="11" defaultRowHeight="16"/>
  <cols>
    <col min="1" max="1" width="17" customWidth="1"/>
    <col min="2" max="2" width="14.1640625" customWidth="1"/>
    <col min="3" max="3" width="17.33203125" customWidth="1"/>
    <col min="4" max="4" width="14.1640625" customWidth="1"/>
    <col min="5" max="5" width="15.33203125" customWidth="1"/>
    <col min="6" max="6" width="13.1640625" customWidth="1"/>
    <col min="7" max="7" width="19.1640625" customWidth="1"/>
    <col min="8" max="8" width="14.5" customWidth="1"/>
    <col min="9" max="9" width="16.83203125" customWidth="1"/>
    <col min="10" max="10" width="14.33203125" customWidth="1"/>
    <col min="11" max="11" width="27.5" customWidth="1"/>
    <col min="12" max="12" width="25.33203125" customWidth="1"/>
    <col min="13" max="13" width="23.1640625" customWidth="1"/>
    <col min="14" max="14" width="14.6640625" customWidth="1"/>
    <col min="15" max="15" width="18" customWidth="1"/>
    <col min="16" max="16" width="21.6640625" customWidth="1"/>
    <col min="17" max="17" width="31" customWidth="1"/>
    <col min="18" max="18" width="11" customWidth="1"/>
  </cols>
  <sheetData>
    <row r="1" spans="1:18">
      <c r="A1" s="140" t="s">
        <v>0</v>
      </c>
      <c r="B1" s="141"/>
      <c r="C1" s="141"/>
      <c r="I1" s="1"/>
      <c r="J1" s="1"/>
      <c r="K1" s="2"/>
    </row>
    <row r="2" spans="1:18">
      <c r="I2" s="1"/>
      <c r="J2" s="1"/>
      <c r="K2" s="2"/>
    </row>
    <row r="3" spans="1:18" ht="323">
      <c r="A3" s="3" t="s">
        <v>1</v>
      </c>
      <c r="B3" s="4">
        <v>0</v>
      </c>
      <c r="C3" s="79" t="s">
        <v>97</v>
      </c>
      <c r="D3" s="5">
        <v>0</v>
      </c>
      <c r="E3" s="6" t="s">
        <v>2</v>
      </c>
      <c r="F3" s="5">
        <v>0</v>
      </c>
      <c r="G3" s="2" t="s">
        <v>3</v>
      </c>
      <c r="H3" s="7">
        <v>0</v>
      </c>
      <c r="I3" s="2" t="s">
        <v>82</v>
      </c>
      <c r="J3" s="7">
        <v>0</v>
      </c>
      <c r="K3" s="8" t="s">
        <v>4</v>
      </c>
      <c r="L3" s="7">
        <v>0</v>
      </c>
      <c r="M3" s="8" t="s">
        <v>5</v>
      </c>
      <c r="N3" s="9">
        <v>0</v>
      </c>
      <c r="O3" s="75" t="s">
        <v>100</v>
      </c>
      <c r="P3" s="9">
        <v>0</v>
      </c>
      <c r="Q3" s="75" t="s">
        <v>83</v>
      </c>
      <c r="R3" s="9">
        <v>0</v>
      </c>
    </row>
    <row r="4" spans="1:18">
      <c r="A4" s="2"/>
      <c r="B4" s="1"/>
      <c r="C4" s="1"/>
      <c r="D4" s="1"/>
      <c r="E4" s="1"/>
      <c r="F4" s="1"/>
      <c r="G4" s="1"/>
      <c r="H4" s="1"/>
      <c r="I4" s="1"/>
      <c r="J4" s="1"/>
      <c r="K4" s="2"/>
    </row>
    <row r="5" spans="1:18" ht="16" customHeight="1">
      <c r="A5" s="142" t="s">
        <v>6</v>
      </c>
      <c r="B5" s="142"/>
      <c r="C5" s="142"/>
      <c r="D5" s="142"/>
      <c r="E5" s="142"/>
      <c r="F5" s="142"/>
      <c r="G5" s="142"/>
      <c r="H5" s="142"/>
      <c r="I5" s="142"/>
      <c r="J5" s="1"/>
      <c r="K5" s="2"/>
    </row>
    <row r="6" spans="1:18" ht="204" customHeight="1">
      <c r="A6" s="10" t="s">
        <v>7</v>
      </c>
      <c r="B6" s="11" t="s">
        <v>8</v>
      </c>
      <c r="C6" s="11" t="s">
        <v>9</v>
      </c>
      <c r="D6" s="11" t="s">
        <v>10</v>
      </c>
      <c r="E6" s="11" t="s">
        <v>116</v>
      </c>
      <c r="F6" s="11" t="s">
        <v>12</v>
      </c>
      <c r="G6" s="11" t="s">
        <v>115</v>
      </c>
      <c r="H6" s="11" t="s">
        <v>117</v>
      </c>
      <c r="I6" s="11" t="s">
        <v>15</v>
      </c>
      <c r="J6" s="11" t="s">
        <v>118</v>
      </c>
      <c r="K6" s="143" t="s">
        <v>95</v>
      </c>
    </row>
    <row r="7" spans="1:18">
      <c r="A7" s="12" t="s">
        <v>17</v>
      </c>
      <c r="B7" s="13">
        <v>40</v>
      </c>
      <c r="C7" s="14">
        <f>$B$3*B7/100</f>
        <v>0</v>
      </c>
      <c r="D7" s="15">
        <v>2</v>
      </c>
      <c r="E7" s="15">
        <v>2</v>
      </c>
      <c r="F7" s="14">
        <f t="shared" ref="F7:F9" si="0">ROUNDUP(C7/D7*E7,0)</f>
        <v>0</v>
      </c>
      <c r="G7" s="15">
        <v>10</v>
      </c>
      <c r="H7" s="15">
        <v>60</v>
      </c>
      <c r="I7" s="14">
        <f t="shared" ref="I7:I9" si="1">ROUNDUP(C7/D7,0)</f>
        <v>0</v>
      </c>
      <c r="J7" s="13">
        <v>1</v>
      </c>
      <c r="K7" s="143"/>
    </row>
    <row r="8" spans="1:18">
      <c r="A8" s="12" t="s">
        <v>18</v>
      </c>
      <c r="B8" s="13">
        <v>32</v>
      </c>
      <c r="C8" s="14">
        <f>$B$3*B8/100</f>
        <v>0</v>
      </c>
      <c r="D8" s="15">
        <v>4</v>
      </c>
      <c r="E8" s="15">
        <v>3</v>
      </c>
      <c r="F8" s="14">
        <f t="shared" si="0"/>
        <v>0</v>
      </c>
      <c r="G8" s="15">
        <v>10</v>
      </c>
      <c r="H8" s="15">
        <v>60</v>
      </c>
      <c r="I8" s="14">
        <f t="shared" si="1"/>
        <v>0</v>
      </c>
      <c r="J8" s="13">
        <v>2</v>
      </c>
      <c r="K8" s="143"/>
    </row>
    <row r="9" spans="1:18">
      <c r="A9" s="12" t="s">
        <v>19</v>
      </c>
      <c r="B9" s="13">
        <v>16</v>
      </c>
      <c r="C9" s="14">
        <f>$B$3*B9/100</f>
        <v>0</v>
      </c>
      <c r="D9" s="15">
        <v>8</v>
      </c>
      <c r="E9" s="15">
        <v>4</v>
      </c>
      <c r="F9" s="14">
        <f t="shared" si="0"/>
        <v>0</v>
      </c>
      <c r="G9" s="15">
        <v>10</v>
      </c>
      <c r="H9" s="15">
        <v>60</v>
      </c>
      <c r="I9" s="14">
        <f t="shared" si="1"/>
        <v>0</v>
      </c>
      <c r="J9" s="13">
        <v>3</v>
      </c>
      <c r="K9" s="143"/>
    </row>
    <row r="10" spans="1:18">
      <c r="A10" s="12" t="s">
        <v>20</v>
      </c>
      <c r="B10" s="13">
        <v>10</v>
      </c>
      <c r="C10" s="14">
        <f>$B$3*B10/100</f>
        <v>0</v>
      </c>
      <c r="D10" s="15">
        <v>20</v>
      </c>
      <c r="E10" s="15">
        <v>4</v>
      </c>
      <c r="F10" s="14">
        <f>ROUNDUP(C10/D10*E10,0)</f>
        <v>0</v>
      </c>
      <c r="G10" s="15">
        <v>10</v>
      </c>
      <c r="H10" s="15">
        <v>60</v>
      </c>
      <c r="I10" s="14">
        <f>ROUNDUP(C10/D10,0)</f>
        <v>0</v>
      </c>
      <c r="J10" s="13">
        <v>5</v>
      </c>
      <c r="K10" s="143"/>
    </row>
    <row r="11" spans="1:18">
      <c r="A11" s="12" t="s">
        <v>21</v>
      </c>
      <c r="B11" s="13">
        <v>2</v>
      </c>
      <c r="C11" s="14">
        <f>$B$3*B11/100</f>
        <v>0</v>
      </c>
      <c r="D11" s="15">
        <v>50</v>
      </c>
      <c r="E11" s="15">
        <v>3</v>
      </c>
      <c r="F11" s="14">
        <f>ROUNDUP(C11/D11*E11,0)</f>
        <v>0</v>
      </c>
      <c r="G11" s="15">
        <v>10</v>
      </c>
      <c r="H11" s="15">
        <v>70</v>
      </c>
      <c r="I11" s="14">
        <f>ROUNDUP(C11/D11,0)</f>
        <v>0</v>
      </c>
      <c r="J11" s="13">
        <v>7</v>
      </c>
      <c r="K11" s="143"/>
    </row>
    <row r="12" spans="1:18" ht="17">
      <c r="A12" s="11" t="s">
        <v>22</v>
      </c>
      <c r="B12" s="14">
        <f>SUM(B7:B11)</f>
        <v>100</v>
      </c>
      <c r="C12" s="14">
        <f>SUM(C7:C11)</f>
        <v>0</v>
      </c>
      <c r="D12" s="16"/>
      <c r="E12" s="16"/>
      <c r="F12" s="14">
        <f>SUM(F7:F11)</f>
        <v>0</v>
      </c>
      <c r="G12" s="14">
        <f>ROUNDUP(C7*G7/100+C8*G8/100+C9*G9/100+C10*G10/100+C11*G11/100,0)</f>
        <v>0</v>
      </c>
      <c r="H12" s="14">
        <f>ROUNDUP(C7*H7/100+C8*H8/100+C9*H9/100+C10*H10/100,0)</f>
        <v>0</v>
      </c>
      <c r="I12" s="14">
        <f>SUM(I7:I11)</f>
        <v>0</v>
      </c>
      <c r="J12" s="17">
        <f>IF(ROUNDUP(I7*J7/100+I8*J8/100+I9*J9/100+I10*J10/100+I11*J11/100,0)&lt;3,3,ROUNDUP(I7*J7/100+I8*J8/100+I9*J9/100+I10*J10/100+I11*J11/100,0))</f>
        <v>3</v>
      </c>
      <c r="K12" s="143"/>
    </row>
    <row r="13" spans="1:18" ht="16" customHeight="1">
      <c r="A13" s="8"/>
      <c r="J13" s="144" t="s">
        <v>114</v>
      </c>
      <c r="K13" s="144"/>
      <c r="L13" s="144"/>
      <c r="M13" s="144"/>
      <c r="N13" s="144"/>
      <c r="O13" s="144"/>
    </row>
    <row r="14" spans="1:18">
      <c r="J14" s="144"/>
      <c r="K14" s="144"/>
      <c r="L14" s="144"/>
      <c r="M14" s="144"/>
      <c r="N14" s="144"/>
      <c r="O14" s="144"/>
    </row>
    <row r="15" spans="1:18" ht="34" customHeight="1">
      <c r="J15" s="144"/>
      <c r="K15" s="144"/>
      <c r="L15" s="144"/>
      <c r="M15" s="144"/>
      <c r="N15" s="144"/>
      <c r="O15" s="144"/>
    </row>
    <row r="16" spans="1:18">
      <c r="A16" s="135" t="s">
        <v>23</v>
      </c>
      <c r="B16" s="135"/>
      <c r="C16" s="135"/>
      <c r="D16" s="135"/>
      <c r="E16" s="135"/>
      <c r="F16" s="135"/>
      <c r="G16" s="135"/>
      <c r="H16" s="135"/>
      <c r="I16" s="135"/>
      <c r="J16" s="135"/>
    </row>
    <row r="17" spans="1:17">
      <c r="A17" s="9" t="s">
        <v>24</v>
      </c>
      <c r="B17" s="19"/>
      <c r="C17" s="19"/>
      <c r="D17" s="19"/>
      <c r="E17" s="19"/>
      <c r="F17" s="19"/>
      <c r="G17" s="19"/>
      <c r="H17" s="19"/>
      <c r="I17" s="19"/>
      <c r="J17" s="19"/>
    </row>
    <row r="18" spans="1:17">
      <c r="A18" s="135" t="s">
        <v>25</v>
      </c>
      <c r="B18" s="135"/>
      <c r="C18" s="135"/>
      <c r="D18" s="135"/>
      <c r="E18" s="135"/>
      <c r="F18" s="135"/>
      <c r="G18" s="135"/>
      <c r="H18" s="135"/>
      <c r="I18" s="135"/>
      <c r="J18" s="135"/>
    </row>
    <row r="19" spans="1:17">
      <c r="A19" s="135" t="s">
        <v>26</v>
      </c>
      <c r="B19" s="135"/>
      <c r="C19" s="135"/>
      <c r="D19" s="135"/>
      <c r="E19" s="135"/>
      <c r="F19" s="135"/>
      <c r="G19" s="135"/>
      <c r="H19" s="135"/>
      <c r="I19" s="135"/>
      <c r="J19" s="135"/>
    </row>
    <row r="20" spans="1:17">
      <c r="A20" s="135" t="s">
        <v>27</v>
      </c>
      <c r="B20" s="135"/>
      <c r="C20" s="135"/>
      <c r="D20" s="135"/>
      <c r="E20" s="135"/>
      <c r="F20" s="135"/>
      <c r="G20" s="135"/>
      <c r="H20" s="135"/>
      <c r="I20" s="135"/>
      <c r="J20" s="135"/>
    </row>
    <row r="21" spans="1:17">
      <c r="A21" s="135" t="s">
        <v>28</v>
      </c>
      <c r="B21" s="135"/>
      <c r="C21" s="135"/>
      <c r="D21" s="135"/>
      <c r="E21" s="135"/>
      <c r="F21" s="135"/>
      <c r="G21" s="135"/>
      <c r="H21" s="135"/>
      <c r="I21" s="135"/>
      <c r="J21" s="135"/>
    </row>
    <row r="22" spans="1:17">
      <c r="A22" s="135"/>
      <c r="B22" s="135"/>
      <c r="C22" s="135"/>
      <c r="D22" s="135"/>
      <c r="E22" s="135"/>
      <c r="F22" s="135"/>
      <c r="G22" s="135"/>
      <c r="H22" s="135"/>
      <c r="I22" s="135"/>
      <c r="J22" s="135"/>
    </row>
    <row r="23" spans="1:17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4" spans="1:17" ht="29">
      <c r="A24" s="20"/>
      <c r="B24" s="21"/>
      <c r="C24" s="22" t="s">
        <v>29</v>
      </c>
      <c r="D24" s="22" t="s">
        <v>30</v>
      </c>
      <c r="E24" s="22" t="s">
        <v>31</v>
      </c>
      <c r="F24" s="22" t="s">
        <v>32</v>
      </c>
      <c r="G24" s="22" t="s">
        <v>33</v>
      </c>
      <c r="H24" s="22" t="s">
        <v>34</v>
      </c>
      <c r="I24" s="22" t="s">
        <v>35</v>
      </c>
      <c r="J24" s="23" t="s">
        <v>36</v>
      </c>
    </row>
    <row r="25" spans="1:17" ht="102" customHeight="1">
      <c r="A25" s="24" t="s">
        <v>37</v>
      </c>
      <c r="B25" s="12"/>
      <c r="C25" s="12"/>
      <c r="D25" s="138" t="s">
        <v>94</v>
      </c>
      <c r="E25" s="139"/>
      <c r="F25" s="77" t="s">
        <v>93</v>
      </c>
      <c r="G25" s="12"/>
      <c r="H25" s="12"/>
      <c r="I25" s="12"/>
      <c r="J25" s="25"/>
      <c r="K25" s="85" t="s">
        <v>86</v>
      </c>
      <c r="L25" s="86" t="s">
        <v>84</v>
      </c>
      <c r="M25" s="86" t="s">
        <v>85</v>
      </c>
      <c r="N25" s="86" t="s">
        <v>91</v>
      </c>
      <c r="O25" s="86" t="s">
        <v>90</v>
      </c>
      <c r="P25" s="86" t="s">
        <v>119</v>
      </c>
      <c r="Q25" s="87" t="s">
        <v>120</v>
      </c>
    </row>
    <row r="26" spans="1:17" ht="17">
      <c r="A26" s="26" t="s">
        <v>38</v>
      </c>
      <c r="B26" s="27"/>
      <c r="C26" s="28">
        <f>MROUND(ROUNDUP(Q26/D26,0),2)+R3*2</f>
        <v>0</v>
      </c>
      <c r="D26" s="76">
        <v>8</v>
      </c>
      <c r="E26" s="76">
        <v>16</v>
      </c>
      <c r="F26" s="29">
        <v>50</v>
      </c>
      <c r="G26" s="30"/>
      <c r="H26" s="30">
        <f t="shared" ref="H26:H34" si="2">C26*D26</f>
        <v>0</v>
      </c>
      <c r="I26" s="30">
        <f t="shared" ref="I26:I34" si="3">C26*E26</f>
        <v>0</v>
      </c>
      <c r="J26" s="31">
        <f t="shared" ref="J26:J34" si="4">C26*F26</f>
        <v>0</v>
      </c>
      <c r="K26" s="88" t="s">
        <v>87</v>
      </c>
      <c r="L26" s="89">
        <f>N3</f>
        <v>0</v>
      </c>
      <c r="M26" s="90">
        <f t="shared" ref="M26:M27" si="5">ROUNDUP(L26/1000*4,0)</f>
        <v>0</v>
      </c>
      <c r="N26" s="91"/>
      <c r="O26" s="91"/>
      <c r="P26" s="91"/>
      <c r="Q26" s="92">
        <f>M26</f>
        <v>0</v>
      </c>
    </row>
    <row r="27" spans="1:17" ht="17">
      <c r="A27" s="32" t="s">
        <v>39</v>
      </c>
      <c r="B27" s="27"/>
      <c r="C27" s="28">
        <f>MROUND(ROUNDUP(Q27/D27,0),2)+R3*2</f>
        <v>0</v>
      </c>
      <c r="D27" s="76">
        <v>8</v>
      </c>
      <c r="E27" s="76">
        <v>16</v>
      </c>
      <c r="F27" s="29">
        <v>50</v>
      </c>
      <c r="G27" s="30"/>
      <c r="H27" s="30">
        <f t="shared" si="2"/>
        <v>0</v>
      </c>
      <c r="I27" s="30">
        <f t="shared" si="3"/>
        <v>0</v>
      </c>
      <c r="J27" s="31">
        <f t="shared" si="4"/>
        <v>0</v>
      </c>
      <c r="K27" s="88" t="s">
        <v>87</v>
      </c>
      <c r="L27" s="89">
        <f>N3</f>
        <v>0</v>
      </c>
      <c r="M27" s="90">
        <f t="shared" si="5"/>
        <v>0</v>
      </c>
      <c r="N27" s="91"/>
      <c r="O27" s="91"/>
      <c r="P27" s="91"/>
      <c r="Q27" s="92">
        <f t="shared" ref="Q27:Q35" si="6">M27</f>
        <v>0</v>
      </c>
    </row>
    <row r="28" spans="1:17" ht="17">
      <c r="A28" s="32" t="s">
        <v>40</v>
      </c>
      <c r="B28" s="27"/>
      <c r="C28" s="28">
        <f>MROUND(ROUNDUP(Q28/D28,0),2)+R3*2</f>
        <v>0</v>
      </c>
      <c r="D28" s="76">
        <v>8</v>
      </c>
      <c r="E28" s="76">
        <v>16</v>
      </c>
      <c r="F28" s="29">
        <v>50</v>
      </c>
      <c r="G28" s="18"/>
      <c r="H28" s="30">
        <f t="shared" si="2"/>
        <v>0</v>
      </c>
      <c r="I28" s="30">
        <f t="shared" si="3"/>
        <v>0</v>
      </c>
      <c r="J28" s="31">
        <f t="shared" si="4"/>
        <v>0</v>
      </c>
      <c r="K28" s="93" t="s">
        <v>41</v>
      </c>
      <c r="L28" s="89">
        <f>F12*3+G12+H12</f>
        <v>0</v>
      </c>
      <c r="M28" s="90">
        <f>ROUNDUP(L28/100,0)</f>
        <v>0</v>
      </c>
      <c r="N28" s="94"/>
      <c r="O28" s="91"/>
      <c r="P28" s="91"/>
      <c r="Q28" s="92">
        <f t="shared" si="6"/>
        <v>0</v>
      </c>
    </row>
    <row r="29" spans="1:17" ht="17">
      <c r="A29" s="32" t="s">
        <v>42</v>
      </c>
      <c r="B29" s="27"/>
      <c r="C29" s="29">
        <f>IF(D29=0, 0, 2+R3*2)</f>
        <v>0</v>
      </c>
      <c r="D29">
        <f>MROUND(ROUNDUP(Q29/2,0),2)</f>
        <v>0</v>
      </c>
      <c r="E29">
        <f>D29*2</f>
        <v>0</v>
      </c>
      <c r="F29" s="29">
        <v>50</v>
      </c>
      <c r="G29" s="30"/>
      <c r="H29" s="30">
        <f t="shared" si="2"/>
        <v>0</v>
      </c>
      <c r="I29" s="30">
        <f t="shared" si="3"/>
        <v>0</v>
      </c>
      <c r="J29" s="31">
        <f t="shared" si="4"/>
        <v>0</v>
      </c>
      <c r="K29" s="88" t="s">
        <v>43</v>
      </c>
      <c r="L29" s="89">
        <f>D3</f>
        <v>0</v>
      </c>
      <c r="M29" s="90">
        <f>ROUNDUP(L29/6,0)</f>
        <v>0</v>
      </c>
      <c r="N29" s="91"/>
      <c r="O29" s="91"/>
      <c r="P29" s="91"/>
      <c r="Q29" s="92">
        <f t="shared" si="6"/>
        <v>0</v>
      </c>
    </row>
    <row r="30" spans="1:17" ht="17">
      <c r="A30" s="32" t="s">
        <v>44</v>
      </c>
      <c r="B30" s="27"/>
      <c r="C30" s="28">
        <f>IF(C29=0,0,MROUND(ROUNDUP(Q30/D30,0),2)+R3*2)</f>
        <v>0</v>
      </c>
      <c r="D30" s="76">
        <v>12</v>
      </c>
      <c r="E30" s="76">
        <v>16</v>
      </c>
      <c r="F30" s="29">
        <v>50</v>
      </c>
      <c r="G30" s="30"/>
      <c r="H30" s="30">
        <f t="shared" si="2"/>
        <v>0</v>
      </c>
      <c r="I30" s="30">
        <f t="shared" si="3"/>
        <v>0</v>
      </c>
      <c r="J30" s="31">
        <f t="shared" si="4"/>
        <v>0</v>
      </c>
      <c r="K30" s="88" t="s">
        <v>45</v>
      </c>
      <c r="L30" s="89">
        <f>D3</f>
        <v>0</v>
      </c>
      <c r="M30" s="90">
        <f>ROUNDUP(L30*1.5,0)</f>
        <v>0</v>
      </c>
      <c r="N30" s="91"/>
      <c r="O30" s="91"/>
      <c r="P30" s="91"/>
      <c r="Q30" s="92">
        <f t="shared" si="6"/>
        <v>0</v>
      </c>
    </row>
    <row r="31" spans="1:17" ht="17">
      <c r="A31" s="32" t="s">
        <v>46</v>
      </c>
      <c r="B31" s="27"/>
      <c r="C31" s="28">
        <f>IF(C29=0,0,MROUND(ROUNDUP(Q31/D31,0),2)+R3*2)</f>
        <v>0</v>
      </c>
      <c r="D31" s="76">
        <v>4</v>
      </c>
      <c r="E31" s="76">
        <v>4</v>
      </c>
      <c r="F31" s="29">
        <v>50</v>
      </c>
      <c r="G31" s="30"/>
      <c r="H31" s="30">
        <f t="shared" si="2"/>
        <v>0</v>
      </c>
      <c r="I31" s="30">
        <f t="shared" si="3"/>
        <v>0</v>
      </c>
      <c r="J31" s="31">
        <f t="shared" si="4"/>
        <v>0</v>
      </c>
      <c r="K31" s="88" t="s">
        <v>88</v>
      </c>
      <c r="L31" s="89">
        <f>D3</f>
        <v>0</v>
      </c>
      <c r="M31" s="90">
        <f>ROUNDUP(L31*0.5,0)</f>
        <v>0</v>
      </c>
      <c r="N31" s="91"/>
      <c r="O31" s="91"/>
      <c r="P31" s="91"/>
      <c r="Q31" s="92">
        <f t="shared" si="6"/>
        <v>0</v>
      </c>
    </row>
    <row r="32" spans="1:17" ht="102">
      <c r="A32" s="26" t="s">
        <v>47</v>
      </c>
      <c r="B32" s="12"/>
      <c r="C32" s="28">
        <f>MROUND(ROUNDUP(Q32/(D32-P32),0),2)+R3*2</f>
        <v>0</v>
      </c>
      <c r="D32" s="29">
        <v>8</v>
      </c>
      <c r="E32" s="29">
        <v>16</v>
      </c>
      <c r="F32" s="29">
        <v>100</v>
      </c>
      <c r="G32" s="30" t="e">
        <f>$H$3*6/$C$32</f>
        <v>#DIV/0!</v>
      </c>
      <c r="H32" s="30">
        <f t="shared" si="2"/>
        <v>0</v>
      </c>
      <c r="I32" s="30">
        <f t="shared" si="3"/>
        <v>0</v>
      </c>
      <c r="J32" s="31">
        <f t="shared" si="4"/>
        <v>0</v>
      </c>
      <c r="K32" s="88" t="s">
        <v>89</v>
      </c>
      <c r="L32" s="89">
        <f>N3*0.25</f>
        <v>0</v>
      </c>
      <c r="M32" s="90">
        <f>ROUNDUP(L32/1000*4,0)</f>
        <v>0</v>
      </c>
      <c r="N32" s="90">
        <f>L3+J3</f>
        <v>0</v>
      </c>
      <c r="O32" s="91">
        <f>ROUNDUP(N32/24*4,0)</f>
        <v>0</v>
      </c>
      <c r="P32" s="91">
        <v>2</v>
      </c>
      <c r="Q32" s="92">
        <f>M32+O32</f>
        <v>0</v>
      </c>
    </row>
    <row r="33" spans="1:17" ht="17">
      <c r="A33" s="32" t="s">
        <v>48</v>
      </c>
      <c r="B33" s="12"/>
      <c r="C33" s="28">
        <f>MROUND(ROUNDUP(Q33/D33,0),2)+R3*2</f>
        <v>0</v>
      </c>
      <c r="D33" s="76">
        <v>8</v>
      </c>
      <c r="E33" s="76">
        <v>16</v>
      </c>
      <c r="F33" s="29">
        <v>50</v>
      </c>
      <c r="G33" s="30">
        <f>3*L33</f>
        <v>0</v>
      </c>
      <c r="H33" s="30">
        <f t="shared" si="2"/>
        <v>0</v>
      </c>
      <c r="I33" s="30">
        <f t="shared" si="3"/>
        <v>0</v>
      </c>
      <c r="J33" s="31">
        <f t="shared" si="4"/>
        <v>0</v>
      </c>
      <c r="K33" s="88" t="s">
        <v>87</v>
      </c>
      <c r="L33" s="89">
        <f>F3</f>
        <v>0</v>
      </c>
      <c r="M33" s="90">
        <f>ROUNDUP(L33/1000*4,0)</f>
        <v>0</v>
      </c>
      <c r="N33" s="91"/>
      <c r="O33" s="91"/>
      <c r="P33" s="91"/>
      <c r="Q33" s="92">
        <f t="shared" si="6"/>
        <v>0</v>
      </c>
    </row>
    <row r="34" spans="1:17" ht="99">
      <c r="A34" s="33" t="s">
        <v>49</v>
      </c>
      <c r="B34" s="34"/>
      <c r="C34" s="28">
        <f>MROUND(ROUNDUP(Q34/(D34-P34),0),2)+R3*2</f>
        <v>2</v>
      </c>
      <c r="D34" s="76">
        <v>8</v>
      </c>
      <c r="E34" s="76">
        <v>16</v>
      </c>
      <c r="F34" s="29">
        <v>100</v>
      </c>
      <c r="G34" s="35"/>
      <c r="H34" s="35">
        <f t="shared" si="2"/>
        <v>16</v>
      </c>
      <c r="I34" s="35">
        <f t="shared" si="3"/>
        <v>32</v>
      </c>
      <c r="J34" s="36">
        <f t="shared" si="4"/>
        <v>200</v>
      </c>
      <c r="K34" s="93" t="s">
        <v>92</v>
      </c>
      <c r="L34" s="95">
        <f>J12</f>
        <v>3</v>
      </c>
      <c r="M34" s="90">
        <f>ROUNDUP(L34*2,0)</f>
        <v>6</v>
      </c>
      <c r="N34" s="90">
        <f>J3</f>
        <v>0</v>
      </c>
      <c r="O34" s="91">
        <f>ROUNDUP(N34/24*4,0)</f>
        <v>0</v>
      </c>
      <c r="P34" s="91">
        <v>0</v>
      </c>
      <c r="Q34" s="92">
        <f>M34+O34</f>
        <v>6</v>
      </c>
    </row>
    <row r="35" spans="1:17" ht="169">
      <c r="A35" s="33" t="s">
        <v>50</v>
      </c>
      <c r="B35" s="34"/>
      <c r="C35" s="29">
        <v>4</v>
      </c>
      <c r="D35">
        <f>MROUND(ROUNDUP(Q35/2,0),2)</f>
        <v>0</v>
      </c>
      <c r="E35">
        <f>D35*2</f>
        <v>0</v>
      </c>
      <c r="F35" s="29">
        <v>50</v>
      </c>
      <c r="G35" s="35"/>
      <c r="H35" s="30">
        <f>C35*D35</f>
        <v>0</v>
      </c>
      <c r="I35" s="30">
        <f>C35*E35</f>
        <v>0</v>
      </c>
      <c r="J35" s="36">
        <f>C35*F35</f>
        <v>200</v>
      </c>
      <c r="K35" s="107" t="s">
        <v>121</v>
      </c>
      <c r="L35" s="96">
        <f>N3</f>
        <v>0</v>
      </c>
      <c r="M35" s="97">
        <f>ROUNDUP(L35/1000,0)</f>
        <v>0</v>
      </c>
      <c r="N35" s="97"/>
      <c r="O35" s="97"/>
      <c r="P35" s="97"/>
      <c r="Q35" s="98">
        <f t="shared" si="6"/>
        <v>0</v>
      </c>
    </row>
    <row r="36" spans="1:17" ht="17" customHeight="1">
      <c r="A36" s="74" t="s">
        <v>80</v>
      </c>
      <c r="B36" s="27"/>
      <c r="C36" s="29">
        <v>4</v>
      </c>
      <c r="D36" s="29">
        <v>4</v>
      </c>
      <c r="E36" s="29">
        <v>8</v>
      </c>
      <c r="F36" s="29">
        <v>50</v>
      </c>
      <c r="G36" s="30"/>
      <c r="H36" s="30">
        <f>C36*D36</f>
        <v>16</v>
      </c>
      <c r="I36" s="30">
        <f>C36*E36</f>
        <v>32</v>
      </c>
      <c r="J36" s="31">
        <f>C36*F36</f>
        <v>200</v>
      </c>
      <c r="K36" s="136" t="s">
        <v>51</v>
      </c>
      <c r="L36" s="137"/>
      <c r="M36" s="137"/>
      <c r="N36" s="137"/>
      <c r="O36" s="137"/>
      <c r="P36" s="137"/>
    </row>
    <row r="37" spans="1:17" ht="17">
      <c r="A37" s="38" t="s">
        <v>52</v>
      </c>
      <c r="B37" s="39"/>
      <c r="C37" s="40">
        <v>1</v>
      </c>
      <c r="D37" s="41">
        <v>2</v>
      </c>
      <c r="E37" s="41">
        <v>4</v>
      </c>
      <c r="F37" s="41">
        <v>200</v>
      </c>
      <c r="G37" s="42"/>
      <c r="H37" s="42">
        <f t="shared" ref="H37:H44" si="7">C37*D37</f>
        <v>2</v>
      </c>
      <c r="I37" s="42">
        <f t="shared" ref="I37:I44" si="8">C37*E37</f>
        <v>4</v>
      </c>
      <c r="J37" s="43">
        <f>C37*F37</f>
        <v>200</v>
      </c>
      <c r="L37" t="s">
        <v>53</v>
      </c>
      <c r="M37" t="s">
        <v>54</v>
      </c>
      <c r="N37" t="s">
        <v>55</v>
      </c>
      <c r="O37" t="s">
        <v>56</v>
      </c>
      <c r="P37" t="s">
        <v>57</v>
      </c>
    </row>
    <row r="38" spans="1:17">
      <c r="A38" s="44"/>
      <c r="C38" s="18"/>
      <c r="D38" s="18"/>
      <c r="E38" s="18"/>
      <c r="F38" s="18"/>
      <c r="G38" s="18"/>
      <c r="H38" s="18"/>
      <c r="I38" s="18"/>
      <c r="J38" s="45"/>
      <c r="K38" t="s">
        <v>58</v>
      </c>
      <c r="L38" s="9">
        <v>1</v>
      </c>
      <c r="M38" s="19">
        <v>1</v>
      </c>
      <c r="N38" s="19">
        <v>1</v>
      </c>
      <c r="O38" s="19">
        <v>1</v>
      </c>
      <c r="P38" s="19">
        <v>1</v>
      </c>
    </row>
    <row r="39" spans="1:17" ht="17">
      <c r="A39" s="46" t="s">
        <v>59</v>
      </c>
      <c r="B39" s="47"/>
      <c r="C39" s="48"/>
      <c r="D39" s="48"/>
      <c r="E39" s="48"/>
      <c r="F39" s="48"/>
      <c r="G39" s="48"/>
      <c r="H39" s="48"/>
      <c r="I39" s="48"/>
      <c r="J39" s="49"/>
      <c r="K39" s="8" t="s">
        <v>30</v>
      </c>
      <c r="L39" s="19">
        <v>4</v>
      </c>
      <c r="M39" s="19">
        <v>4</v>
      </c>
      <c r="N39" s="19">
        <v>4</v>
      </c>
      <c r="O39" s="19">
        <v>2</v>
      </c>
      <c r="P39" s="19">
        <v>2</v>
      </c>
    </row>
    <row r="40" spans="1:17" ht="17">
      <c r="A40" s="20" t="s">
        <v>60</v>
      </c>
      <c r="B40" s="50"/>
      <c r="C40" s="51">
        <v>1</v>
      </c>
      <c r="D40" s="51">
        <v>4</v>
      </c>
      <c r="E40" s="51">
        <v>8</v>
      </c>
      <c r="F40" s="51">
        <v>100</v>
      </c>
      <c r="G40" s="52"/>
      <c r="H40" s="52">
        <f t="shared" si="7"/>
        <v>4</v>
      </c>
      <c r="I40" s="52">
        <f t="shared" si="8"/>
        <v>8</v>
      </c>
      <c r="J40" s="53">
        <f t="shared" ref="J40:J44" si="9">C40*F40</f>
        <v>100</v>
      </c>
      <c r="K40" s="8" t="s">
        <v>61</v>
      </c>
      <c r="L40" s="19">
        <v>8</v>
      </c>
      <c r="M40" s="19">
        <v>8</v>
      </c>
      <c r="N40" s="19">
        <v>8</v>
      </c>
      <c r="O40" s="19">
        <v>4</v>
      </c>
      <c r="P40" s="19">
        <v>4</v>
      </c>
    </row>
    <row r="41" spans="1:17">
      <c r="A41" s="26" t="s">
        <v>62</v>
      </c>
      <c r="B41" s="54"/>
      <c r="C41" s="29">
        <v>1</v>
      </c>
      <c r="D41" s="29">
        <v>2</v>
      </c>
      <c r="E41" s="29">
        <v>4</v>
      </c>
      <c r="F41" s="29">
        <v>50</v>
      </c>
      <c r="G41" s="30"/>
      <c r="H41" s="30">
        <f t="shared" si="7"/>
        <v>2</v>
      </c>
      <c r="I41" s="30">
        <f t="shared" si="8"/>
        <v>4</v>
      </c>
      <c r="J41" s="31">
        <f t="shared" si="9"/>
        <v>50</v>
      </c>
      <c r="K41" s="8"/>
    </row>
    <row r="42" spans="1:17" ht="102">
      <c r="A42" s="26" t="s">
        <v>63</v>
      </c>
      <c r="B42" s="54"/>
      <c r="C42" s="29">
        <f t="shared" ref="C42:C43" si="10">2*1</f>
        <v>2</v>
      </c>
      <c r="D42" s="29">
        <f>L38*L39+M38*M39+N38*N39+O38*O39+P38*P39</f>
        <v>16</v>
      </c>
      <c r="E42" s="29">
        <f t="shared" ref="E42:E43" si="11">D42*2</f>
        <v>32</v>
      </c>
      <c r="F42" s="55">
        <f>($P$3/365*0.25*$N$3+$P$3/365*0.15*$N$3+$P$3*$J$3+$P$3*$L$3)/2</f>
        <v>0</v>
      </c>
      <c r="G42" s="30" t="e">
        <f>$H$3*6/$C$32</f>
        <v>#DIV/0!</v>
      </c>
      <c r="H42" s="30">
        <f t="shared" si="7"/>
        <v>32</v>
      </c>
      <c r="I42" s="30">
        <f t="shared" si="8"/>
        <v>64</v>
      </c>
      <c r="J42" s="31">
        <f t="shared" si="9"/>
        <v>0</v>
      </c>
      <c r="K42" s="56" t="s">
        <v>101</v>
      </c>
      <c r="L42" s="57" t="s">
        <v>81</v>
      </c>
      <c r="M42" t="s">
        <v>64</v>
      </c>
    </row>
    <row r="43" spans="1:17">
      <c r="A43" s="26" t="s">
        <v>65</v>
      </c>
      <c r="B43" s="54"/>
      <c r="C43" s="29">
        <f t="shared" si="10"/>
        <v>2</v>
      </c>
      <c r="D43" s="29">
        <f>L38*L39</f>
        <v>4</v>
      </c>
      <c r="E43" s="29">
        <f t="shared" si="11"/>
        <v>8</v>
      </c>
      <c r="F43" s="55">
        <f>($P$3/365*0.25*$N$3+$P$3/365*0.15*$N$3+$P$3*$J$3+$P$3*$L$3)/2</f>
        <v>0</v>
      </c>
      <c r="G43" s="30" t="e">
        <f>$H$3*6/$C$32</f>
        <v>#DIV/0!</v>
      </c>
      <c r="H43" s="30">
        <f t="shared" si="7"/>
        <v>8</v>
      </c>
      <c r="I43" s="30">
        <f t="shared" si="8"/>
        <v>16</v>
      </c>
      <c r="J43" s="31">
        <f t="shared" si="9"/>
        <v>0</v>
      </c>
      <c r="M43" t="s">
        <v>66</v>
      </c>
    </row>
    <row r="44" spans="1:17">
      <c r="A44" s="58" t="s">
        <v>67</v>
      </c>
      <c r="B44" s="59"/>
      <c r="C44" s="41">
        <v>1</v>
      </c>
      <c r="D44" s="41">
        <f>M38*M39+N38*N39+O38*O39+P38*P39</f>
        <v>12</v>
      </c>
      <c r="E44" s="41">
        <v>16</v>
      </c>
      <c r="F44" s="41">
        <f>100+0.15*$N$3</f>
        <v>100</v>
      </c>
      <c r="G44" s="42"/>
      <c r="H44" s="42">
        <f t="shared" si="7"/>
        <v>12</v>
      </c>
      <c r="I44" s="42">
        <f t="shared" si="8"/>
        <v>16</v>
      </c>
      <c r="J44" s="43">
        <f t="shared" si="9"/>
        <v>100</v>
      </c>
      <c r="M44" t="s">
        <v>68</v>
      </c>
    </row>
    <row r="45" spans="1:17" ht="17" thickBot="1"/>
    <row r="46" spans="1:17" ht="17" thickBot="1">
      <c r="B46" s="71" t="s">
        <v>69</v>
      </c>
      <c r="C46" s="73">
        <f>SUM(C25:C45)</f>
        <v>18</v>
      </c>
      <c r="D46" s="72"/>
      <c r="E46" s="72"/>
      <c r="F46" s="72"/>
      <c r="G46" s="60"/>
      <c r="H46" s="61">
        <f>SUM(H26:H44)</f>
        <v>92</v>
      </c>
      <c r="I46" s="61">
        <f>SUM(I26:I44)</f>
        <v>176</v>
      </c>
      <c r="J46" s="62">
        <f>SUM(J26:J44)</f>
        <v>1050</v>
      </c>
    </row>
    <row r="49" spans="1:4">
      <c r="A49" s="37"/>
      <c r="B49" s="37"/>
      <c r="C49" s="37"/>
      <c r="D49" s="37"/>
    </row>
    <row r="50" spans="1:4">
      <c r="A50" s="37"/>
      <c r="B50" s="37"/>
      <c r="C50" s="37"/>
      <c r="D50" s="37"/>
    </row>
    <row r="51" spans="1:4">
      <c r="A51" s="37"/>
      <c r="B51" s="37"/>
      <c r="C51" s="37"/>
      <c r="D51" s="37"/>
    </row>
    <row r="52" spans="1:4">
      <c r="A52" s="37"/>
      <c r="B52" s="37"/>
      <c r="C52" s="37"/>
      <c r="D52" s="37"/>
    </row>
    <row r="53" spans="1:4">
      <c r="A53" s="37"/>
      <c r="B53" s="37"/>
      <c r="C53" s="37"/>
      <c r="D53" s="37"/>
    </row>
    <row r="54" spans="1:4">
      <c r="A54" s="37"/>
      <c r="B54" s="63"/>
      <c r="C54" s="63"/>
      <c r="D54" s="37"/>
    </row>
    <row r="55" spans="1:4">
      <c r="A55" s="37"/>
      <c r="B55" s="63"/>
      <c r="C55" s="63"/>
      <c r="D55" s="37"/>
    </row>
    <row r="56" spans="1:4">
      <c r="A56" s="37"/>
      <c r="B56" s="37"/>
      <c r="C56" s="37"/>
      <c r="D56" s="37"/>
    </row>
    <row r="57" spans="1:4">
      <c r="A57" s="37"/>
      <c r="B57" s="63"/>
      <c r="C57" s="63"/>
      <c r="D57" s="37"/>
    </row>
    <row r="58" spans="1:4">
      <c r="B58" s="63"/>
      <c r="C58" s="63"/>
      <c r="D58" s="37"/>
    </row>
    <row r="59" spans="1:4">
      <c r="A59" s="37"/>
      <c r="B59" s="63"/>
      <c r="C59" s="63"/>
      <c r="D59" s="37"/>
    </row>
    <row r="60" spans="1:4">
      <c r="A60" s="37"/>
      <c r="B60" s="63"/>
      <c r="C60" s="63"/>
      <c r="D60" s="37"/>
    </row>
    <row r="61" spans="1:4">
      <c r="A61" s="37"/>
      <c r="B61" s="63"/>
      <c r="C61" s="63"/>
      <c r="D61" s="37"/>
    </row>
    <row r="62" spans="1:4">
      <c r="A62" s="37"/>
      <c r="B62" s="37"/>
      <c r="C62" s="37"/>
      <c r="D62" s="37"/>
    </row>
    <row r="63" spans="1:4">
      <c r="A63" s="37"/>
      <c r="B63" s="63"/>
      <c r="C63" s="63"/>
      <c r="D63" s="37"/>
    </row>
    <row r="64" spans="1:4">
      <c r="A64" s="37"/>
      <c r="B64" s="63"/>
      <c r="C64" s="63"/>
      <c r="D64" s="37"/>
    </row>
  </sheetData>
  <mergeCells count="12">
    <mergeCell ref="A1:C1"/>
    <mergeCell ref="A5:I5"/>
    <mergeCell ref="K6:K12"/>
    <mergeCell ref="A16:J16"/>
    <mergeCell ref="J13:O15"/>
    <mergeCell ref="A22:J22"/>
    <mergeCell ref="K36:P36"/>
    <mergeCell ref="A18:J18"/>
    <mergeCell ref="A19:J19"/>
    <mergeCell ref="A20:J20"/>
    <mergeCell ref="A21:J21"/>
    <mergeCell ref="D25:E25"/>
  </mergeCells>
  <dataValidations count="1">
    <dataValidation type="list" allowBlank="1" showInputMessage="1" showErrorMessage="1" sqref="L38:P38" xr:uid="{00D300B5-00A1-47F3-A31E-00DB00570031}">
      <formula1>"1,0"</formula1>
    </dataValidation>
  </dataValidations>
  <pageMargins left="0.7" right="0.7" top="0.75" bottom="0.75" header="0.3" footer="0.3"/>
  <pageSetup paperSize="9" orientation="portrait"/>
  <ignoredErrors>
    <ignoredError sqref="Q32 Q34" 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8"/>
  <sheetViews>
    <sheetView topLeftCell="A21" zoomScale="75" workbookViewId="0">
      <selection activeCell="L37" sqref="L37"/>
    </sheetView>
  </sheetViews>
  <sheetFormatPr baseColWidth="10" defaultColWidth="11" defaultRowHeight="16"/>
  <cols>
    <col min="1" max="1" width="15" customWidth="1"/>
    <col min="2" max="2" width="14.1640625" customWidth="1"/>
    <col min="3" max="3" width="16.1640625" customWidth="1"/>
    <col min="4" max="4" width="14.1640625" customWidth="1"/>
    <col min="5" max="5" width="15.33203125" customWidth="1"/>
    <col min="6" max="6" width="12.33203125" customWidth="1"/>
    <col min="7" max="7" width="19.1640625" customWidth="1"/>
    <col min="8" max="8" width="15.33203125" customWidth="1"/>
    <col min="9" max="9" width="16.83203125" customWidth="1"/>
    <col min="10" max="10" width="14.33203125" customWidth="1"/>
    <col min="11" max="11" width="27.33203125" customWidth="1"/>
    <col min="12" max="12" width="31.1640625" customWidth="1"/>
    <col min="13" max="13" width="21.5" customWidth="1"/>
    <col min="14" max="14" width="16.6640625" customWidth="1"/>
    <col min="15" max="15" width="20.83203125" customWidth="1"/>
    <col min="16" max="16" width="18.6640625" customWidth="1"/>
    <col min="17" max="17" width="19.83203125" customWidth="1"/>
  </cols>
  <sheetData>
    <row r="1" spans="1:16">
      <c r="A1" s="140" t="s">
        <v>0</v>
      </c>
      <c r="B1" s="141"/>
      <c r="C1" s="141"/>
      <c r="I1" s="1"/>
      <c r="J1" s="1"/>
      <c r="K1" s="2"/>
    </row>
    <row r="2" spans="1:16">
      <c r="I2" s="1"/>
      <c r="J2" s="1"/>
      <c r="K2" s="2"/>
    </row>
    <row r="3" spans="1:16" ht="221">
      <c r="A3" s="3" t="s">
        <v>70</v>
      </c>
      <c r="B3" s="4">
        <v>0</v>
      </c>
      <c r="C3" s="79" t="s">
        <v>98</v>
      </c>
      <c r="D3" s="5">
        <v>0</v>
      </c>
      <c r="E3" s="6" t="s">
        <v>2</v>
      </c>
      <c r="F3" s="5">
        <v>0</v>
      </c>
      <c r="G3" s="2" t="s">
        <v>3</v>
      </c>
      <c r="H3" s="7">
        <v>0</v>
      </c>
      <c r="I3" s="2" t="s">
        <v>82</v>
      </c>
      <c r="J3" s="7">
        <v>0</v>
      </c>
      <c r="K3" s="8" t="s">
        <v>4</v>
      </c>
      <c r="L3" s="7">
        <v>0</v>
      </c>
      <c r="M3" s="75" t="s">
        <v>5</v>
      </c>
      <c r="N3" s="9">
        <v>0</v>
      </c>
      <c r="O3" s="75" t="s">
        <v>100</v>
      </c>
      <c r="P3" s="9">
        <v>0</v>
      </c>
    </row>
    <row r="4" spans="1:16">
      <c r="A4" s="2"/>
      <c r="B4" s="1"/>
      <c r="C4" s="1"/>
      <c r="D4" s="1"/>
      <c r="E4" s="1"/>
      <c r="F4" s="1"/>
      <c r="G4" s="1"/>
      <c r="H4" s="1"/>
      <c r="I4" s="1"/>
      <c r="J4" s="1"/>
      <c r="K4" s="2"/>
    </row>
    <row r="5" spans="1:16" ht="16" customHeight="1">
      <c r="A5" s="142" t="s">
        <v>6</v>
      </c>
      <c r="B5" s="142"/>
      <c r="C5" s="142"/>
      <c r="D5" s="142"/>
      <c r="E5" s="142"/>
      <c r="F5" s="142"/>
      <c r="G5" s="142"/>
      <c r="H5" s="142"/>
      <c r="I5" s="142"/>
      <c r="J5" s="1"/>
      <c r="K5" s="2"/>
    </row>
    <row r="6" spans="1:16" ht="204" customHeight="1">
      <c r="A6" s="10" t="s">
        <v>7</v>
      </c>
      <c r="B6" s="11" t="s">
        <v>8</v>
      </c>
      <c r="C6" s="11" t="s">
        <v>9</v>
      </c>
      <c r="D6" s="11" t="s">
        <v>10</v>
      </c>
      <c r="E6" s="11" t="s">
        <v>116</v>
      </c>
      <c r="F6" s="11" t="s">
        <v>12</v>
      </c>
      <c r="G6" s="11" t="s">
        <v>115</v>
      </c>
      <c r="H6" s="11" t="s">
        <v>117</v>
      </c>
      <c r="I6" s="11" t="s">
        <v>15</v>
      </c>
      <c r="J6" s="11" t="s">
        <v>118</v>
      </c>
      <c r="K6" s="143" t="s">
        <v>95</v>
      </c>
    </row>
    <row r="7" spans="1:16">
      <c r="A7" s="12" t="s">
        <v>17</v>
      </c>
      <c r="B7" s="13">
        <v>40</v>
      </c>
      <c r="C7" s="14">
        <f>$B$3*B7/100</f>
        <v>0</v>
      </c>
      <c r="D7" s="15">
        <v>2</v>
      </c>
      <c r="E7" s="15">
        <v>2</v>
      </c>
      <c r="F7" s="14">
        <f t="shared" ref="F7:F9" si="0">ROUNDUP(C7/D7*E7,0)</f>
        <v>0</v>
      </c>
      <c r="G7" s="15">
        <v>10</v>
      </c>
      <c r="H7" s="15">
        <v>60</v>
      </c>
      <c r="I7" s="14">
        <f t="shared" ref="I7:I9" si="1">ROUNDUP(C7/D7,0)</f>
        <v>0</v>
      </c>
      <c r="J7" s="13">
        <v>1</v>
      </c>
      <c r="K7" s="143"/>
    </row>
    <row r="8" spans="1:16">
      <c r="A8" s="12" t="s">
        <v>18</v>
      </c>
      <c r="B8" s="13">
        <v>32</v>
      </c>
      <c r="C8" s="14">
        <f>$B$3*B8/100</f>
        <v>0</v>
      </c>
      <c r="D8" s="15">
        <v>4</v>
      </c>
      <c r="E8" s="15">
        <v>3</v>
      </c>
      <c r="F8" s="14">
        <f t="shared" si="0"/>
        <v>0</v>
      </c>
      <c r="G8" s="15">
        <v>10</v>
      </c>
      <c r="H8" s="15">
        <v>60</v>
      </c>
      <c r="I8" s="14">
        <f t="shared" si="1"/>
        <v>0</v>
      </c>
      <c r="J8" s="13">
        <v>2</v>
      </c>
      <c r="K8" s="143"/>
    </row>
    <row r="9" spans="1:16">
      <c r="A9" s="12" t="s">
        <v>19</v>
      </c>
      <c r="B9" s="13">
        <v>16</v>
      </c>
      <c r="C9" s="14">
        <f>$B$3*B9/100</f>
        <v>0</v>
      </c>
      <c r="D9" s="15">
        <v>8</v>
      </c>
      <c r="E9" s="15">
        <v>4</v>
      </c>
      <c r="F9" s="14">
        <f t="shared" si="0"/>
        <v>0</v>
      </c>
      <c r="G9" s="15">
        <v>10</v>
      </c>
      <c r="H9" s="15">
        <v>60</v>
      </c>
      <c r="I9" s="14">
        <f t="shared" si="1"/>
        <v>0</v>
      </c>
      <c r="J9" s="13">
        <v>3</v>
      </c>
      <c r="K9" s="143"/>
    </row>
    <row r="10" spans="1:16">
      <c r="A10" s="12" t="s">
        <v>20</v>
      </c>
      <c r="B10" s="13">
        <v>10</v>
      </c>
      <c r="C10" s="14">
        <f>$B$3*B10/100</f>
        <v>0</v>
      </c>
      <c r="D10" s="15">
        <v>20</v>
      </c>
      <c r="E10" s="15">
        <v>4</v>
      </c>
      <c r="F10" s="14">
        <f>ROUNDUP(C10/D10*E10,0)</f>
        <v>0</v>
      </c>
      <c r="G10" s="15">
        <v>10</v>
      </c>
      <c r="H10" s="15">
        <v>60</v>
      </c>
      <c r="I10" s="14">
        <f>ROUNDUP(C10/D10,0)</f>
        <v>0</v>
      </c>
      <c r="J10" s="13">
        <v>5</v>
      </c>
      <c r="K10" s="143"/>
    </row>
    <row r="11" spans="1:16">
      <c r="A11" s="12" t="s">
        <v>21</v>
      </c>
      <c r="B11" s="13">
        <v>2</v>
      </c>
      <c r="C11" s="14">
        <f>$B$3*B11/100</f>
        <v>0</v>
      </c>
      <c r="D11" s="15">
        <v>50</v>
      </c>
      <c r="E11" s="15">
        <v>3</v>
      </c>
      <c r="F11" s="14">
        <f>ROUNDUP(C11/D11*E11,0)</f>
        <v>0</v>
      </c>
      <c r="G11" s="15">
        <v>10</v>
      </c>
      <c r="H11" s="15">
        <v>70</v>
      </c>
      <c r="I11" s="14">
        <f>ROUNDUP(C11/D11,0)</f>
        <v>0</v>
      </c>
      <c r="J11" s="13">
        <v>7</v>
      </c>
      <c r="K11" s="143"/>
    </row>
    <row r="12" spans="1:16" ht="17">
      <c r="A12" s="11" t="s">
        <v>22</v>
      </c>
      <c r="B12" s="14">
        <f>SUM(B7:B11)</f>
        <v>100</v>
      </c>
      <c r="C12" s="14">
        <f>SUM(C7:C11)</f>
        <v>0</v>
      </c>
      <c r="D12" s="16"/>
      <c r="E12" s="16"/>
      <c r="F12" s="14">
        <f>SUM(F7:F11)</f>
        <v>0</v>
      </c>
      <c r="G12" s="14">
        <f>ROUNDUP(C7*G7/100+C8*G8/100+C9*G9/100+C10*G10/100+C11*G11/100,0)</f>
        <v>0</v>
      </c>
      <c r="H12" s="14">
        <f>ROUNDUP(C7*H7/100+C8*H8/100+C9*H9/100+C10*H10/100,0)</f>
        <v>0</v>
      </c>
      <c r="I12" s="14">
        <f>SUM(I7:I11)</f>
        <v>0</v>
      </c>
      <c r="J12" s="17">
        <f>IF(ROUNDUP(I7*J7/100+I8*J8/100+I9*J9/100+I10*J10/100+I11*J11/100,0)&lt;3,3,ROUNDUP(I7*J7/100+I8*J8/100+I9*J9/100+I10*J10/100+I11*J11/100,0))</f>
        <v>3</v>
      </c>
      <c r="K12" s="143"/>
    </row>
    <row r="13" spans="1:16">
      <c r="A13" s="8"/>
      <c r="J13" s="144" t="s">
        <v>114</v>
      </c>
      <c r="K13" s="144"/>
      <c r="L13" s="144"/>
      <c r="M13" s="144"/>
      <c r="N13" s="144"/>
      <c r="O13" s="144"/>
    </row>
    <row r="14" spans="1:16">
      <c r="J14" s="144"/>
      <c r="K14" s="144"/>
      <c r="L14" s="144"/>
      <c r="M14" s="144"/>
      <c r="N14" s="144"/>
      <c r="O14" s="144"/>
    </row>
    <row r="15" spans="1:16" ht="39" customHeight="1">
      <c r="J15" s="144"/>
      <c r="K15" s="144"/>
      <c r="L15" s="144"/>
      <c r="M15" s="144"/>
      <c r="N15" s="144"/>
      <c r="O15" s="144"/>
    </row>
    <row r="16" spans="1:16">
      <c r="A16" s="135" t="s">
        <v>71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9"/>
      <c r="L16" s="19"/>
      <c r="M16" s="19"/>
      <c r="N16" s="19"/>
      <c r="O16" s="19"/>
    </row>
    <row r="17" spans="1:17">
      <c r="A17" s="9" t="s">
        <v>24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7">
      <c r="A18" s="19" t="s">
        <v>96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7">
      <c r="A19" s="19" t="s">
        <v>72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7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9"/>
      <c r="L20" s="19"/>
      <c r="M20" s="19"/>
      <c r="N20" s="19"/>
      <c r="O20" s="19"/>
    </row>
    <row r="21" spans="1:17">
      <c r="A21" s="19" t="s">
        <v>73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7">
      <c r="A22" s="19" t="s">
        <v>27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7">
      <c r="A23" s="19" t="s">
        <v>28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7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</row>
    <row r="25" spans="1:17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7" ht="29">
      <c r="A26" s="20"/>
      <c r="B26" s="21"/>
      <c r="C26" s="22" t="s">
        <v>74</v>
      </c>
      <c r="D26" s="22" t="s">
        <v>30</v>
      </c>
      <c r="E26" s="22" t="s">
        <v>31</v>
      </c>
      <c r="F26" s="22" t="s">
        <v>32</v>
      </c>
      <c r="G26" s="22" t="s">
        <v>33</v>
      </c>
      <c r="H26" s="22" t="s">
        <v>34</v>
      </c>
      <c r="I26" s="22" t="s">
        <v>35</v>
      </c>
      <c r="J26" s="23" t="s">
        <v>36</v>
      </c>
    </row>
    <row r="27" spans="1:17" ht="102">
      <c r="A27" s="24" t="s">
        <v>37</v>
      </c>
      <c r="B27" s="12"/>
      <c r="C27" s="12"/>
      <c r="D27" s="138" t="s">
        <v>94</v>
      </c>
      <c r="E27" s="139"/>
      <c r="F27" s="77" t="s">
        <v>93</v>
      </c>
      <c r="G27" s="12"/>
      <c r="H27" s="12"/>
      <c r="I27" s="12"/>
      <c r="J27" s="25"/>
      <c r="K27" s="85" t="s">
        <v>86</v>
      </c>
      <c r="L27" s="86" t="s">
        <v>84</v>
      </c>
      <c r="M27" s="86" t="s">
        <v>85</v>
      </c>
      <c r="N27" s="86" t="s">
        <v>91</v>
      </c>
      <c r="O27" s="86" t="s">
        <v>90</v>
      </c>
      <c r="P27" s="86" t="s">
        <v>119</v>
      </c>
      <c r="Q27" s="87" t="s">
        <v>120</v>
      </c>
    </row>
    <row r="28" spans="1:17" ht="17">
      <c r="A28" s="26" t="s">
        <v>38</v>
      </c>
      <c r="B28" s="27"/>
      <c r="C28" s="28">
        <f>ROUNDUP(Q28/D28,0)</f>
        <v>0</v>
      </c>
      <c r="D28" s="78">
        <v>8</v>
      </c>
      <c r="E28" s="78">
        <v>16</v>
      </c>
      <c r="F28" s="29">
        <v>50</v>
      </c>
      <c r="G28" s="30"/>
      <c r="H28" s="30">
        <f t="shared" ref="H28:H36" si="2">C28*D28</f>
        <v>0</v>
      </c>
      <c r="I28" s="30">
        <f t="shared" ref="I28:I36" si="3">C28*E28</f>
        <v>0</v>
      </c>
      <c r="J28" s="31">
        <f t="shared" ref="J28:J36" si="4">C28*F28</f>
        <v>0</v>
      </c>
      <c r="K28" s="99" t="s">
        <v>87</v>
      </c>
      <c r="L28" s="100">
        <f>N3</f>
        <v>0</v>
      </c>
      <c r="M28" s="101">
        <f t="shared" ref="M28:M29" si="5">ROUNDUP(L28/1000*4,0)</f>
        <v>0</v>
      </c>
      <c r="N28" s="102"/>
      <c r="O28" s="102"/>
      <c r="P28" s="102"/>
      <c r="Q28" s="103">
        <f>M28</f>
        <v>0</v>
      </c>
    </row>
    <row r="29" spans="1:17" ht="17">
      <c r="A29" s="32" t="s">
        <v>39</v>
      </c>
      <c r="B29" s="27"/>
      <c r="C29" s="28">
        <f>ROUNDUP(Q29/D29,0)</f>
        <v>0</v>
      </c>
      <c r="D29" s="78">
        <v>8</v>
      </c>
      <c r="E29" s="78">
        <v>16</v>
      </c>
      <c r="F29" s="29">
        <v>50</v>
      </c>
      <c r="G29" s="30"/>
      <c r="H29" s="30">
        <f t="shared" si="2"/>
        <v>0</v>
      </c>
      <c r="I29" s="30">
        <f t="shared" si="3"/>
        <v>0</v>
      </c>
      <c r="J29" s="31">
        <f t="shared" si="4"/>
        <v>0</v>
      </c>
      <c r="K29" s="99" t="s">
        <v>87</v>
      </c>
      <c r="L29" s="100">
        <f>N3</f>
        <v>0</v>
      </c>
      <c r="M29" s="101">
        <f t="shared" si="5"/>
        <v>0</v>
      </c>
      <c r="N29" s="102"/>
      <c r="O29" s="102"/>
      <c r="P29" s="102"/>
      <c r="Q29" s="103">
        <f t="shared" ref="Q29:Q37" si="6">M29</f>
        <v>0</v>
      </c>
    </row>
    <row r="30" spans="1:17" ht="17">
      <c r="A30" s="32" t="s">
        <v>40</v>
      </c>
      <c r="B30" s="27"/>
      <c r="C30" s="28">
        <f>ROUNDUP(Q30/D30,0)</f>
        <v>0</v>
      </c>
      <c r="D30" s="78">
        <v>8</v>
      </c>
      <c r="E30" s="78">
        <v>16</v>
      </c>
      <c r="F30" s="29">
        <v>50</v>
      </c>
      <c r="G30" s="18"/>
      <c r="H30" s="30">
        <f t="shared" si="2"/>
        <v>0</v>
      </c>
      <c r="I30" s="30">
        <f t="shared" si="3"/>
        <v>0</v>
      </c>
      <c r="J30" s="31">
        <f t="shared" si="4"/>
        <v>0</v>
      </c>
      <c r="K30" s="104" t="s">
        <v>41</v>
      </c>
      <c r="L30" s="100">
        <f>F12*3+G12+H12</f>
        <v>0</v>
      </c>
      <c r="M30" s="101">
        <f>ROUNDUP(L30/100,0)</f>
        <v>0</v>
      </c>
      <c r="N30" s="105"/>
      <c r="O30" s="102"/>
      <c r="P30" s="102"/>
      <c r="Q30" s="103">
        <f t="shared" si="6"/>
        <v>0</v>
      </c>
    </row>
    <row r="31" spans="1:17" ht="17">
      <c r="A31" s="32" t="s">
        <v>42</v>
      </c>
      <c r="B31" s="27"/>
      <c r="C31" s="29">
        <f>IF(D31=0, 0, 2)</f>
        <v>0</v>
      </c>
      <c r="D31">
        <f>MROUND(ROUNDUP(Q31/2,0),2)</f>
        <v>0</v>
      </c>
      <c r="E31" s="12">
        <f>D31*2</f>
        <v>0</v>
      </c>
      <c r="F31" s="29">
        <v>50</v>
      </c>
      <c r="G31" s="30"/>
      <c r="H31" s="30">
        <f t="shared" si="2"/>
        <v>0</v>
      </c>
      <c r="I31" s="30">
        <f t="shared" si="3"/>
        <v>0</v>
      </c>
      <c r="J31" s="31">
        <f t="shared" si="4"/>
        <v>0</v>
      </c>
      <c r="K31" s="99" t="s">
        <v>43</v>
      </c>
      <c r="L31" s="100">
        <f>D3</f>
        <v>0</v>
      </c>
      <c r="M31" s="101">
        <f>ROUNDUP(L31/6,0)</f>
        <v>0</v>
      </c>
      <c r="N31" s="102"/>
      <c r="O31" s="102"/>
      <c r="P31" s="102"/>
      <c r="Q31" s="103">
        <f t="shared" si="6"/>
        <v>0</v>
      </c>
    </row>
    <row r="32" spans="1:17" ht="34">
      <c r="A32" s="32" t="s">
        <v>44</v>
      </c>
      <c r="B32" s="27"/>
      <c r="C32" s="28">
        <f>IF(C31=0,0,ROUNDUP(Q32/D32,0))</f>
        <v>0</v>
      </c>
      <c r="D32" s="76">
        <v>12</v>
      </c>
      <c r="E32" s="76">
        <v>16</v>
      </c>
      <c r="F32" s="29">
        <v>50</v>
      </c>
      <c r="G32" s="30"/>
      <c r="H32" s="30">
        <f t="shared" si="2"/>
        <v>0</v>
      </c>
      <c r="I32" s="30">
        <f t="shared" si="3"/>
        <v>0</v>
      </c>
      <c r="J32" s="31">
        <f t="shared" si="4"/>
        <v>0</v>
      </c>
      <c r="K32" s="99" t="s">
        <v>45</v>
      </c>
      <c r="L32" s="100">
        <f>D3</f>
        <v>0</v>
      </c>
      <c r="M32" s="101">
        <f>ROUNDUP(L32*1.5,0)</f>
        <v>0</v>
      </c>
      <c r="N32" s="102"/>
      <c r="O32" s="102"/>
      <c r="P32" s="102"/>
      <c r="Q32" s="103">
        <f t="shared" si="6"/>
        <v>0</v>
      </c>
    </row>
    <row r="33" spans="1:17" ht="34">
      <c r="A33" s="32" t="s">
        <v>46</v>
      </c>
      <c r="B33" s="27"/>
      <c r="C33" s="28">
        <f>IF(C31=0,0,ROUNDUP(Q33/D33,0))</f>
        <v>0</v>
      </c>
      <c r="D33" s="76">
        <v>4</v>
      </c>
      <c r="E33" s="76">
        <v>4</v>
      </c>
      <c r="F33" s="29">
        <v>50</v>
      </c>
      <c r="G33" s="30"/>
      <c r="H33" s="30">
        <f t="shared" si="2"/>
        <v>0</v>
      </c>
      <c r="I33" s="30">
        <f t="shared" si="3"/>
        <v>0</v>
      </c>
      <c r="J33" s="31">
        <f t="shared" si="4"/>
        <v>0</v>
      </c>
      <c r="K33" s="99" t="s">
        <v>88</v>
      </c>
      <c r="L33" s="100">
        <f>D3</f>
        <v>0</v>
      </c>
      <c r="M33" s="101">
        <f>ROUNDUP(L33*0.5,0)</f>
        <v>0</v>
      </c>
      <c r="N33" s="102"/>
      <c r="O33" s="102"/>
      <c r="P33" s="102"/>
      <c r="Q33" s="103">
        <f t="shared" si="6"/>
        <v>0</v>
      </c>
    </row>
    <row r="34" spans="1:17" ht="102">
      <c r="A34" s="26" t="s">
        <v>47</v>
      </c>
      <c r="B34" s="12"/>
      <c r="C34" s="28">
        <f>ROUNDUP(Q34/(D34-P34),0)</f>
        <v>0</v>
      </c>
      <c r="D34" s="29">
        <v>8</v>
      </c>
      <c r="E34" s="29">
        <v>16</v>
      </c>
      <c r="F34" s="29">
        <v>100</v>
      </c>
      <c r="G34" s="30" t="e">
        <f>$H$3*6/$C$34</f>
        <v>#DIV/0!</v>
      </c>
      <c r="H34" s="30">
        <f t="shared" si="2"/>
        <v>0</v>
      </c>
      <c r="I34" s="30">
        <f t="shared" si="3"/>
        <v>0</v>
      </c>
      <c r="J34" s="31">
        <f t="shared" si="4"/>
        <v>0</v>
      </c>
      <c r="K34" s="99" t="s">
        <v>89</v>
      </c>
      <c r="L34" s="100">
        <f>N3*0.25</f>
        <v>0</v>
      </c>
      <c r="M34" s="101">
        <f>ROUNDUP(L34/1000*4,0)</f>
        <v>0</v>
      </c>
      <c r="N34" s="101">
        <f>L3+J3</f>
        <v>0</v>
      </c>
      <c r="O34" s="102">
        <f>ROUNDUP(N34/24*4,0)</f>
        <v>0</v>
      </c>
      <c r="P34" s="102">
        <v>2</v>
      </c>
      <c r="Q34" s="103">
        <f>M34+O34</f>
        <v>0</v>
      </c>
    </row>
    <row r="35" spans="1:17" ht="17">
      <c r="A35" s="32" t="s">
        <v>48</v>
      </c>
      <c r="B35" s="12"/>
      <c r="C35" s="28">
        <f>ROUNDUP(Q35/D35,0)</f>
        <v>0</v>
      </c>
      <c r="D35" s="76">
        <v>8</v>
      </c>
      <c r="E35" s="76">
        <v>16</v>
      </c>
      <c r="F35" s="29">
        <v>50</v>
      </c>
      <c r="G35" s="30">
        <f>3*L35</f>
        <v>0</v>
      </c>
      <c r="H35" s="30">
        <f t="shared" si="2"/>
        <v>0</v>
      </c>
      <c r="I35" s="30">
        <f t="shared" si="3"/>
        <v>0</v>
      </c>
      <c r="J35" s="31">
        <f t="shared" si="4"/>
        <v>0</v>
      </c>
      <c r="K35" s="99" t="s">
        <v>87</v>
      </c>
      <c r="L35" s="100">
        <f>F3</f>
        <v>0</v>
      </c>
      <c r="M35" s="101">
        <f>ROUNDUP(L35/1000*4,0)</f>
        <v>0</v>
      </c>
      <c r="N35" s="102"/>
      <c r="O35" s="102"/>
      <c r="P35" s="102"/>
      <c r="Q35" s="103">
        <f t="shared" si="6"/>
        <v>0</v>
      </c>
    </row>
    <row r="36" spans="1:17" ht="99">
      <c r="A36" s="33" t="s">
        <v>49</v>
      </c>
      <c r="B36" s="34"/>
      <c r="C36" s="28">
        <f>ROUNDUP(Q36/(D36-P36),0)</f>
        <v>1</v>
      </c>
      <c r="D36" s="76">
        <v>8</v>
      </c>
      <c r="E36" s="76">
        <v>16</v>
      </c>
      <c r="F36" s="29">
        <v>100</v>
      </c>
      <c r="G36" s="35"/>
      <c r="H36" s="35">
        <f t="shared" si="2"/>
        <v>8</v>
      </c>
      <c r="I36" s="35">
        <f t="shared" si="3"/>
        <v>16</v>
      </c>
      <c r="J36" s="36">
        <f t="shared" si="4"/>
        <v>100</v>
      </c>
      <c r="K36" s="104" t="s">
        <v>92</v>
      </c>
      <c r="L36" s="106">
        <f>J12</f>
        <v>3</v>
      </c>
      <c r="M36" s="101">
        <f>ROUNDUP(L36*2,0)</f>
        <v>6</v>
      </c>
      <c r="N36" s="101">
        <f>J3</f>
        <v>0</v>
      </c>
      <c r="O36" s="102">
        <f>ROUNDUP(N36/24*4,0)</f>
        <v>0</v>
      </c>
      <c r="P36" s="102">
        <v>0</v>
      </c>
      <c r="Q36" s="103">
        <f>M36+O36</f>
        <v>6</v>
      </c>
    </row>
    <row r="37" spans="1:17" ht="155">
      <c r="A37" s="33" t="s">
        <v>50</v>
      </c>
      <c r="B37" s="34"/>
      <c r="C37" s="29">
        <v>2</v>
      </c>
      <c r="D37">
        <f>MROUND(Q37,2)</f>
        <v>0</v>
      </c>
      <c r="E37">
        <f>D37*2</f>
        <v>0</v>
      </c>
      <c r="F37" s="29">
        <v>50</v>
      </c>
      <c r="G37" s="35"/>
      <c r="H37" s="35">
        <f>C37*D37</f>
        <v>0</v>
      </c>
      <c r="I37" s="35">
        <f>C37*E37</f>
        <v>0</v>
      </c>
      <c r="J37" s="36">
        <f>C37*F37</f>
        <v>100</v>
      </c>
      <c r="K37" s="107" t="s">
        <v>122</v>
      </c>
      <c r="L37" s="108">
        <f>N3</f>
        <v>0</v>
      </c>
      <c r="M37" s="109">
        <f>ROUNDUP(L37/1000,0)</f>
        <v>0</v>
      </c>
      <c r="N37" s="110"/>
      <c r="O37" s="110"/>
      <c r="P37" s="110"/>
      <c r="Q37" s="111">
        <f t="shared" si="6"/>
        <v>0</v>
      </c>
    </row>
    <row r="38" spans="1:17" ht="17">
      <c r="A38" s="74" t="s">
        <v>80</v>
      </c>
      <c r="B38" s="27"/>
      <c r="C38" s="64">
        <v>2</v>
      </c>
      <c r="D38" s="29">
        <v>4</v>
      </c>
      <c r="E38" s="29">
        <v>8</v>
      </c>
      <c r="F38" s="29">
        <v>50</v>
      </c>
      <c r="G38" s="30"/>
      <c r="H38" s="30">
        <f t="shared" ref="H38" si="7">C38*D38</f>
        <v>8</v>
      </c>
      <c r="I38" s="30">
        <f t="shared" ref="I38" si="8">C38*E38</f>
        <v>16</v>
      </c>
      <c r="J38" s="31">
        <f>C38*F38</f>
        <v>100</v>
      </c>
      <c r="K38" s="136" t="s">
        <v>51</v>
      </c>
      <c r="L38" s="137"/>
      <c r="M38" s="137"/>
      <c r="N38" s="137"/>
      <c r="O38" s="137"/>
      <c r="P38" s="137"/>
    </row>
    <row r="39" spans="1:17" ht="17" customHeight="1" thickBot="1">
      <c r="A39" s="38" t="s">
        <v>52</v>
      </c>
      <c r="B39" s="39"/>
      <c r="C39" s="41">
        <v>1</v>
      </c>
      <c r="D39" s="41">
        <v>2</v>
      </c>
      <c r="E39" s="41">
        <v>4</v>
      </c>
      <c r="F39" s="41">
        <v>200</v>
      </c>
      <c r="G39" s="42"/>
      <c r="H39" s="42">
        <f t="shared" ref="H39" si="9">C39*D39</f>
        <v>2</v>
      </c>
      <c r="I39" s="42">
        <f t="shared" ref="I39" si="10">C39*E39</f>
        <v>4</v>
      </c>
      <c r="J39" s="43">
        <f>C39*F39</f>
        <v>200</v>
      </c>
      <c r="L39" t="s">
        <v>53</v>
      </c>
      <c r="M39" t="s">
        <v>54</v>
      </c>
      <c r="N39" t="s">
        <v>55</v>
      </c>
      <c r="O39" t="s">
        <v>56</v>
      </c>
      <c r="P39" t="s">
        <v>57</v>
      </c>
    </row>
    <row r="40" spans="1:17">
      <c r="A40" s="44"/>
      <c r="C40" s="18"/>
      <c r="D40" s="18"/>
      <c r="E40" s="18"/>
      <c r="F40" s="18"/>
      <c r="G40" s="18"/>
      <c r="H40" s="18"/>
      <c r="I40" s="18"/>
      <c r="J40" s="45"/>
      <c r="K40" t="s">
        <v>58</v>
      </c>
      <c r="L40" s="9">
        <v>1</v>
      </c>
      <c r="M40" s="19">
        <v>1</v>
      </c>
      <c r="N40" s="19">
        <v>1</v>
      </c>
      <c r="O40" s="19">
        <v>1</v>
      </c>
      <c r="P40" s="19">
        <v>1</v>
      </c>
    </row>
    <row r="41" spans="1:17" ht="29">
      <c r="A41" s="46" t="s">
        <v>59</v>
      </c>
      <c r="B41" s="47"/>
      <c r="C41" s="48"/>
      <c r="D41" s="48"/>
      <c r="E41" s="48"/>
      <c r="F41" s="48"/>
      <c r="G41" s="48"/>
      <c r="H41" s="48"/>
      <c r="I41" s="48"/>
      <c r="J41" s="49"/>
      <c r="K41" s="8" t="s">
        <v>30</v>
      </c>
      <c r="L41" s="19">
        <v>4</v>
      </c>
      <c r="M41" s="19">
        <v>4</v>
      </c>
      <c r="N41" s="19">
        <v>4</v>
      </c>
      <c r="O41" s="19">
        <v>2</v>
      </c>
      <c r="P41" s="19">
        <v>2</v>
      </c>
    </row>
    <row r="42" spans="1:17" ht="17">
      <c r="A42" s="20" t="s">
        <v>60</v>
      </c>
      <c r="B42" s="50"/>
      <c r="C42" s="51">
        <v>1</v>
      </c>
      <c r="D42" s="51">
        <v>4</v>
      </c>
      <c r="E42" s="51">
        <v>8</v>
      </c>
      <c r="F42" s="51">
        <v>100</v>
      </c>
      <c r="G42" s="52"/>
      <c r="H42" s="52">
        <f t="shared" ref="H42:H47" si="11">C42*D42</f>
        <v>4</v>
      </c>
      <c r="I42" s="52">
        <f t="shared" ref="I42:I47" si="12">C42*E42</f>
        <v>8</v>
      </c>
      <c r="J42" s="53">
        <f t="shared" ref="J42:J47" si="13">C42*F42</f>
        <v>100</v>
      </c>
      <c r="K42" s="8" t="s">
        <v>61</v>
      </c>
      <c r="L42" s="19">
        <v>8</v>
      </c>
      <c r="M42" s="19">
        <v>8</v>
      </c>
      <c r="N42" s="19">
        <v>8</v>
      </c>
      <c r="O42" s="19">
        <v>4</v>
      </c>
      <c r="P42" s="19">
        <v>4</v>
      </c>
    </row>
    <row r="43" spans="1:17">
      <c r="A43" s="26" t="s">
        <v>62</v>
      </c>
      <c r="B43" s="54"/>
      <c r="C43" s="29">
        <v>1</v>
      </c>
      <c r="D43" s="29">
        <v>2</v>
      </c>
      <c r="E43" s="29">
        <v>4</v>
      </c>
      <c r="F43" s="29">
        <v>50</v>
      </c>
      <c r="G43" s="30"/>
      <c r="H43" s="30">
        <f t="shared" si="11"/>
        <v>2</v>
      </c>
      <c r="I43" s="30">
        <f t="shared" si="12"/>
        <v>4</v>
      </c>
      <c r="J43" s="31">
        <f t="shared" si="13"/>
        <v>50</v>
      </c>
      <c r="K43" s="8"/>
    </row>
    <row r="44" spans="1:17" ht="85">
      <c r="A44" s="26" t="s">
        <v>75</v>
      </c>
      <c r="B44" s="54"/>
      <c r="C44" s="29">
        <v>1</v>
      </c>
      <c r="D44" s="29">
        <f>L40*L41+M40*M41+N40*N41+O40*O41+P40*P41</f>
        <v>16</v>
      </c>
      <c r="E44" s="29">
        <f t="shared" ref="E44:E47" si="14">D44*2</f>
        <v>32</v>
      </c>
      <c r="F44" s="55">
        <f>($P$3*0.25*$N$3/365+$P$3*0.15*$N$3/365+$P$3*$J$3+$P$3*$L$3)/2</f>
        <v>0</v>
      </c>
      <c r="G44" s="30" t="e">
        <f>$H$3*6/$C$34</f>
        <v>#DIV/0!</v>
      </c>
      <c r="H44" s="30">
        <f t="shared" si="11"/>
        <v>16</v>
      </c>
      <c r="I44" s="30">
        <f t="shared" si="12"/>
        <v>32</v>
      </c>
      <c r="J44" s="31">
        <f t="shared" si="13"/>
        <v>0</v>
      </c>
      <c r="K44" s="56" t="s">
        <v>101</v>
      </c>
      <c r="L44" s="57" t="s">
        <v>81</v>
      </c>
      <c r="M44" t="s">
        <v>64</v>
      </c>
    </row>
    <row r="45" spans="1:17">
      <c r="A45" s="26" t="s">
        <v>76</v>
      </c>
      <c r="B45" s="54"/>
      <c r="C45" s="29">
        <v>1</v>
      </c>
      <c r="D45" s="29">
        <f>L40*L41+M40*M41+N40*N41+O40*O41+P40*P41</f>
        <v>16</v>
      </c>
      <c r="E45" s="29">
        <f t="shared" si="14"/>
        <v>32</v>
      </c>
      <c r="F45" s="55">
        <f>($P$3*0.25*$N$3/365+$P$3*0.15*$N$3/365+$P$3*$J$3+$P$3*$L$3)/2</f>
        <v>0</v>
      </c>
      <c r="G45" s="30" t="e">
        <f>$H$3*6/$C$34</f>
        <v>#DIV/0!</v>
      </c>
      <c r="H45" s="30">
        <f t="shared" si="11"/>
        <v>16</v>
      </c>
      <c r="I45" s="30">
        <f t="shared" si="12"/>
        <v>32</v>
      </c>
      <c r="J45" s="31">
        <f t="shared" si="13"/>
        <v>0</v>
      </c>
      <c r="M45" t="s">
        <v>64</v>
      </c>
    </row>
    <row r="46" spans="1:17">
      <c r="A46" s="65" t="s">
        <v>77</v>
      </c>
      <c r="B46" s="66"/>
      <c r="C46" s="29">
        <v>1</v>
      </c>
      <c r="D46" s="29">
        <f>L40*L41+M40*M41+N40*N41+O40*O41+P40*P41</f>
        <v>16</v>
      </c>
      <c r="E46" s="29">
        <f t="shared" si="14"/>
        <v>32</v>
      </c>
      <c r="F46" s="55">
        <f>($P$3*0.25*$N$3/365+$P$3*0.15*$N$3/365+$P$3*$J$3+$P$3*$L$3)/2</f>
        <v>0</v>
      </c>
      <c r="G46" s="67"/>
      <c r="H46" s="67"/>
      <c r="I46" s="67"/>
      <c r="J46" s="68"/>
      <c r="M46" t="s">
        <v>64</v>
      </c>
    </row>
    <row r="47" spans="1:17" ht="17" thickBot="1">
      <c r="A47" s="58" t="s">
        <v>78</v>
      </c>
      <c r="B47" s="59"/>
      <c r="C47" s="41">
        <v>1</v>
      </c>
      <c r="D47" s="41">
        <f>L40*L41</f>
        <v>4</v>
      </c>
      <c r="E47" s="69">
        <f t="shared" si="14"/>
        <v>8</v>
      </c>
      <c r="F47" s="55">
        <f>($P$3*0.25*$N$3/365+$P$3*0.15*$N$3/365+$P$3*$J$3+$P$3*$L$3)/2</f>
        <v>0</v>
      </c>
      <c r="G47" s="42"/>
      <c r="H47" s="42">
        <f t="shared" si="11"/>
        <v>4</v>
      </c>
      <c r="I47" s="42">
        <f t="shared" si="12"/>
        <v>8</v>
      </c>
      <c r="J47" s="43">
        <f t="shared" si="13"/>
        <v>0</v>
      </c>
      <c r="M47" t="s">
        <v>79</v>
      </c>
    </row>
    <row r="48" spans="1:17" ht="17" thickBot="1">
      <c r="E48" s="70"/>
    </row>
    <row r="49" spans="1:10" ht="17" thickBot="1">
      <c r="B49" s="71" t="s">
        <v>69</v>
      </c>
      <c r="C49" s="73">
        <f>SUM(C28:C48)</f>
        <v>12</v>
      </c>
      <c r="D49" s="72"/>
      <c r="E49" s="72"/>
      <c r="F49" s="72"/>
      <c r="G49" s="60"/>
      <c r="H49" s="61">
        <f>SUM(H29:H47)</f>
        <v>60</v>
      </c>
      <c r="I49" s="61">
        <f>SUM(I29:I47)</f>
        <v>120</v>
      </c>
      <c r="J49" s="62">
        <f>SUM(J29:J47)</f>
        <v>650</v>
      </c>
    </row>
    <row r="52" spans="1:10">
      <c r="A52" s="37"/>
      <c r="B52" s="146"/>
      <c r="C52" s="146"/>
      <c r="D52" s="146"/>
    </row>
    <row r="53" spans="1:10">
      <c r="A53" s="37"/>
      <c r="B53" s="146"/>
      <c r="C53" s="146"/>
      <c r="D53" s="146"/>
    </row>
    <row r="54" spans="1:10">
      <c r="A54" s="37"/>
      <c r="B54" s="146"/>
      <c r="C54" s="146"/>
      <c r="D54" s="146"/>
    </row>
    <row r="55" spans="1:10">
      <c r="A55" s="37"/>
      <c r="B55" s="146"/>
      <c r="C55" s="146"/>
      <c r="D55" s="146"/>
    </row>
    <row r="56" spans="1:10">
      <c r="A56" s="37"/>
      <c r="B56" s="146"/>
      <c r="C56" s="146"/>
      <c r="D56" s="146"/>
    </row>
    <row r="57" spans="1:10">
      <c r="A57" s="37"/>
      <c r="B57" s="146"/>
      <c r="C57" s="146"/>
      <c r="D57" s="146"/>
    </row>
    <row r="58" spans="1:10">
      <c r="A58" s="37"/>
      <c r="B58" s="146"/>
      <c r="C58" s="146"/>
      <c r="D58" s="146"/>
    </row>
    <row r="59" spans="1:10">
      <c r="A59" s="37"/>
      <c r="B59" s="37"/>
      <c r="C59" s="37"/>
      <c r="D59" s="37"/>
    </row>
    <row r="60" spans="1:10">
      <c r="A60" s="37"/>
      <c r="B60" s="145"/>
      <c r="C60" s="145"/>
      <c r="D60" s="146"/>
    </row>
    <row r="61" spans="1:10">
      <c r="A61" s="37"/>
      <c r="B61" s="145"/>
      <c r="C61" s="145"/>
      <c r="D61" s="146"/>
    </row>
    <row r="62" spans="1:10">
      <c r="A62" s="37"/>
      <c r="B62" s="145"/>
      <c r="C62" s="145"/>
      <c r="D62" s="146"/>
    </row>
    <row r="63" spans="1:10">
      <c r="A63" s="37"/>
      <c r="B63" s="145"/>
      <c r="C63" s="145"/>
      <c r="D63" s="146"/>
    </row>
    <row r="64" spans="1:10">
      <c r="A64" s="37"/>
      <c r="B64" s="37"/>
      <c r="C64" s="37"/>
      <c r="D64" s="37"/>
    </row>
    <row r="65" spans="1:4">
      <c r="A65" s="37"/>
      <c r="B65" s="145"/>
      <c r="C65" s="145"/>
      <c r="D65" s="146"/>
    </row>
    <row r="66" spans="1:4">
      <c r="A66" s="37"/>
      <c r="B66" s="145"/>
      <c r="C66" s="145"/>
      <c r="D66" s="146"/>
    </row>
    <row r="67" spans="1:4">
      <c r="A67" s="37"/>
      <c r="B67" s="145"/>
      <c r="C67" s="145"/>
      <c r="D67" s="146"/>
    </row>
    <row r="68" spans="1:4">
      <c r="A68" s="37"/>
      <c r="B68" s="37"/>
      <c r="C68" s="37"/>
      <c r="D68" s="37"/>
    </row>
    <row r="69" spans="1:4">
      <c r="A69" s="37"/>
      <c r="B69" s="145"/>
      <c r="C69" s="145"/>
      <c r="D69" s="146"/>
    </row>
    <row r="70" spans="1:4">
      <c r="A70" s="37"/>
      <c r="B70" s="145"/>
      <c r="C70" s="145"/>
      <c r="D70" s="146"/>
    </row>
    <row r="71" spans="1:4">
      <c r="A71" s="37"/>
      <c r="B71" s="145"/>
      <c r="C71" s="145"/>
      <c r="D71" s="146"/>
    </row>
    <row r="72" spans="1:4">
      <c r="A72" s="37"/>
      <c r="B72" s="145"/>
      <c r="C72" s="145"/>
      <c r="D72" s="146"/>
    </row>
    <row r="73" spans="1:4">
      <c r="A73" s="37"/>
      <c r="B73" s="37"/>
      <c r="C73" s="37"/>
      <c r="D73" s="37"/>
    </row>
    <row r="74" spans="1:4">
      <c r="A74" s="37"/>
      <c r="B74" s="145"/>
      <c r="C74" s="145"/>
      <c r="D74" s="146"/>
    </row>
    <row r="75" spans="1:4">
      <c r="A75" s="37"/>
      <c r="B75" s="145"/>
      <c r="C75" s="145"/>
      <c r="D75" s="146"/>
    </row>
    <row r="76" spans="1:4">
      <c r="A76" s="37"/>
      <c r="B76" s="145"/>
      <c r="C76" s="145"/>
      <c r="D76" s="146"/>
    </row>
    <row r="77" spans="1:4">
      <c r="A77" s="37"/>
      <c r="B77" s="145"/>
      <c r="C77" s="145"/>
      <c r="D77" s="146"/>
    </row>
    <row r="78" spans="1:4">
      <c r="A78" s="37"/>
      <c r="B78" s="145"/>
      <c r="C78" s="145"/>
      <c r="D78" s="146"/>
    </row>
  </sheetData>
  <mergeCells count="24">
    <mergeCell ref="A1:C1"/>
    <mergeCell ref="A5:I5"/>
    <mergeCell ref="K6:K12"/>
    <mergeCell ref="A16:J16"/>
    <mergeCell ref="J13:O15"/>
    <mergeCell ref="A20:J20"/>
    <mergeCell ref="A24:O24"/>
    <mergeCell ref="K38:P38"/>
    <mergeCell ref="B52:B58"/>
    <mergeCell ref="C52:C58"/>
    <mergeCell ref="D52:D58"/>
    <mergeCell ref="D27:E27"/>
    <mergeCell ref="B60:B63"/>
    <mergeCell ref="C60:C63"/>
    <mergeCell ref="D60:D63"/>
    <mergeCell ref="B65:B67"/>
    <mergeCell ref="C65:C67"/>
    <mergeCell ref="D65:D67"/>
    <mergeCell ref="B69:B72"/>
    <mergeCell ref="C69:C72"/>
    <mergeCell ref="D69:D72"/>
    <mergeCell ref="B74:B78"/>
    <mergeCell ref="C74:C78"/>
    <mergeCell ref="D74:D78"/>
  </mergeCells>
  <dataValidations count="1">
    <dataValidation type="list" allowBlank="1" showInputMessage="1" showErrorMessage="1" sqref="L40:P40" xr:uid="{001F00AE-002D-4A45-85AD-00A200A3004E}">
      <formula1>"1,0"</formula1>
    </dataValidation>
  </dataValidations>
  <pageMargins left="0.7" right="0.7" top="0.75" bottom="0.75" header="0.3" footer="0.3"/>
  <pageSetup paperSize="9" orientation="portrait"/>
  <ignoredErrors>
    <ignoredError sqref="G44:G45 G34" evalError="1"/>
    <ignoredError sqref="Q34:Q36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9AB92-DA3E-054F-92CF-9F371533F453}">
  <dimension ref="A1:Q31"/>
  <sheetViews>
    <sheetView topLeftCell="A19" zoomScale="75" workbookViewId="0">
      <selection activeCell="T28" sqref="T28"/>
    </sheetView>
  </sheetViews>
  <sheetFormatPr baseColWidth="10" defaultRowHeight="16"/>
  <cols>
    <col min="1" max="1" width="16" customWidth="1"/>
    <col min="3" max="3" width="16.83203125" customWidth="1"/>
    <col min="4" max="4" width="12" customWidth="1"/>
    <col min="5" max="5" width="19.6640625" customWidth="1"/>
    <col min="6" max="6" width="14.1640625" customWidth="1"/>
    <col min="7" max="7" width="19.5" customWidth="1"/>
    <col min="9" max="9" width="27.5" customWidth="1"/>
    <col min="11" max="11" width="17.1640625" customWidth="1"/>
    <col min="12" max="12" width="19" customWidth="1"/>
    <col min="13" max="13" width="17.83203125" customWidth="1"/>
    <col min="15" max="15" width="15.5" customWidth="1"/>
    <col min="16" max="17" width="14" customWidth="1"/>
  </cols>
  <sheetData>
    <row r="1" spans="1:15">
      <c r="A1" s="140" t="s">
        <v>0</v>
      </c>
      <c r="B1" s="141"/>
      <c r="C1" s="141"/>
    </row>
    <row r="3" spans="1:15" ht="168" customHeight="1">
      <c r="A3" s="3" t="s">
        <v>1</v>
      </c>
      <c r="B3" s="4">
        <v>0</v>
      </c>
      <c r="C3" s="79" t="s">
        <v>97</v>
      </c>
      <c r="D3" s="5">
        <v>0</v>
      </c>
      <c r="E3" s="6" t="s">
        <v>2</v>
      </c>
      <c r="F3" s="5">
        <v>0</v>
      </c>
      <c r="G3" s="2" t="s">
        <v>82</v>
      </c>
      <c r="H3" s="7">
        <v>0</v>
      </c>
      <c r="I3" s="8" t="s">
        <v>4</v>
      </c>
      <c r="J3" s="7">
        <v>0</v>
      </c>
      <c r="K3" s="75" t="s">
        <v>5</v>
      </c>
      <c r="L3" s="9">
        <v>0</v>
      </c>
      <c r="M3" s="75" t="s">
        <v>100</v>
      </c>
      <c r="N3" s="9">
        <v>0</v>
      </c>
    </row>
    <row r="5" spans="1:15">
      <c r="A5" s="142" t="s">
        <v>6</v>
      </c>
      <c r="B5" s="142"/>
      <c r="C5" s="142"/>
      <c r="D5" s="142"/>
      <c r="E5" s="142"/>
      <c r="F5" s="142"/>
      <c r="G5" s="142"/>
      <c r="H5" s="142"/>
      <c r="I5" s="142"/>
      <c r="J5" s="1"/>
      <c r="K5" s="2"/>
    </row>
    <row r="6" spans="1:15" ht="119">
      <c r="A6" s="10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1" t="s">
        <v>15</v>
      </c>
      <c r="J6" s="11" t="s">
        <v>16</v>
      </c>
      <c r="K6" s="143" t="s">
        <v>95</v>
      </c>
    </row>
    <row r="7" spans="1:15">
      <c r="A7" s="12" t="s">
        <v>17</v>
      </c>
      <c r="B7" s="13">
        <v>40</v>
      </c>
      <c r="C7" s="14">
        <f>$B$3*B7/100</f>
        <v>0</v>
      </c>
      <c r="D7" s="15">
        <v>2</v>
      </c>
      <c r="E7" s="15">
        <v>2</v>
      </c>
      <c r="F7" s="14">
        <f t="shared" ref="F7:F9" si="0">ROUNDUP(C7/D7*E7,0)</f>
        <v>0</v>
      </c>
      <c r="G7" s="15">
        <v>10</v>
      </c>
      <c r="H7" s="15">
        <v>60</v>
      </c>
      <c r="I7" s="14">
        <f>ROUNDUP(C7/D7,0)</f>
        <v>0</v>
      </c>
      <c r="J7" s="13">
        <v>1</v>
      </c>
      <c r="K7" s="143"/>
    </row>
    <row r="8" spans="1:15">
      <c r="A8" s="12" t="s">
        <v>18</v>
      </c>
      <c r="B8" s="13">
        <v>32</v>
      </c>
      <c r="C8" s="14">
        <f>$B$3*B8/100</f>
        <v>0</v>
      </c>
      <c r="D8" s="15">
        <v>4</v>
      </c>
      <c r="E8" s="15">
        <v>3</v>
      </c>
      <c r="F8" s="14">
        <f t="shared" si="0"/>
        <v>0</v>
      </c>
      <c r="G8" s="15">
        <v>10</v>
      </c>
      <c r="H8" s="15">
        <v>60</v>
      </c>
      <c r="I8" s="14">
        <f t="shared" ref="I8:I9" si="1">ROUNDUP(C8/D8,0)</f>
        <v>0</v>
      </c>
      <c r="J8" s="13">
        <v>2</v>
      </c>
      <c r="K8" s="143"/>
    </row>
    <row r="9" spans="1:15">
      <c r="A9" s="12" t="s">
        <v>19</v>
      </c>
      <c r="B9" s="13">
        <v>16</v>
      </c>
      <c r="C9" s="14">
        <f>$B$3*B9/100</f>
        <v>0</v>
      </c>
      <c r="D9" s="15">
        <v>8</v>
      </c>
      <c r="E9" s="15">
        <v>4</v>
      </c>
      <c r="F9" s="14">
        <f t="shared" si="0"/>
        <v>0</v>
      </c>
      <c r="G9" s="15">
        <v>10</v>
      </c>
      <c r="H9" s="15">
        <v>60</v>
      </c>
      <c r="I9" s="14">
        <f t="shared" si="1"/>
        <v>0</v>
      </c>
      <c r="J9" s="13">
        <v>3</v>
      </c>
      <c r="K9" s="143"/>
    </row>
    <row r="10" spans="1:15">
      <c r="A10" s="12" t="s">
        <v>20</v>
      </c>
      <c r="B10" s="13">
        <v>10</v>
      </c>
      <c r="C10" s="14">
        <f>$B$3*B10/100</f>
        <v>0</v>
      </c>
      <c r="D10" s="15">
        <v>20</v>
      </c>
      <c r="E10" s="15">
        <v>4</v>
      </c>
      <c r="F10" s="14">
        <f>ROUNDUP(C10/D10*E10,0)</f>
        <v>0</v>
      </c>
      <c r="G10" s="15">
        <v>10</v>
      </c>
      <c r="H10" s="15">
        <v>60</v>
      </c>
      <c r="I10" s="14">
        <f>ROUNDUP(C10/D10,0)</f>
        <v>0</v>
      </c>
      <c r="J10" s="13">
        <v>5</v>
      </c>
      <c r="K10" s="143"/>
    </row>
    <row r="11" spans="1:15">
      <c r="A11" s="12" t="s">
        <v>21</v>
      </c>
      <c r="B11" s="13">
        <v>2</v>
      </c>
      <c r="C11" s="14">
        <f>$B$3*B11/100</f>
        <v>0</v>
      </c>
      <c r="D11" s="15">
        <v>50</v>
      </c>
      <c r="E11" s="15">
        <v>3</v>
      </c>
      <c r="F11" s="14">
        <f>ROUNDUP(C11/D11*E11,0)</f>
        <v>0</v>
      </c>
      <c r="G11" s="15">
        <v>10</v>
      </c>
      <c r="H11" s="15">
        <v>70</v>
      </c>
      <c r="I11" s="14">
        <f>ROUNDUP(C11/D11,0)</f>
        <v>0</v>
      </c>
      <c r="J11" s="13">
        <v>7</v>
      </c>
      <c r="K11" s="143"/>
    </row>
    <row r="12" spans="1:15" ht="17">
      <c r="A12" s="11" t="s">
        <v>22</v>
      </c>
      <c r="B12" s="14">
        <f>SUM(B7:B11)</f>
        <v>100</v>
      </c>
      <c r="C12" s="14">
        <f>SUM(C7:C11)</f>
        <v>0</v>
      </c>
      <c r="D12" s="16"/>
      <c r="E12" s="16"/>
      <c r="F12" s="14">
        <f>SUM(F7:F11)</f>
        <v>0</v>
      </c>
      <c r="G12" s="14">
        <f>ROUNDUP(C7*G7/100+C8*G8/100+C9*G9/100+C10*G10/100+C11*G11/100,0)</f>
        <v>0</v>
      </c>
      <c r="H12" s="14">
        <f>ROUNDUP(C7*H7/100+C8*H8/100+C9*H9/100+C10*H10/100,0)</f>
        <v>0</v>
      </c>
      <c r="I12" s="14">
        <f>SUM(I7:I11)</f>
        <v>0</v>
      </c>
      <c r="J12" s="17">
        <f>ROUNDUP(I7*J7/100+I8*J8/100+I9*J9/100+I10*J10/100+I11*J11/100,0)</f>
        <v>0</v>
      </c>
      <c r="K12" s="143"/>
    </row>
    <row r="13" spans="1:15">
      <c r="A13" s="8"/>
      <c r="J13" s="144" t="s">
        <v>99</v>
      </c>
      <c r="K13" s="144"/>
      <c r="L13" s="144"/>
      <c r="M13" s="144"/>
      <c r="N13" s="144"/>
      <c r="O13" s="144"/>
    </row>
    <row r="14" spans="1:15">
      <c r="J14" s="144"/>
      <c r="K14" s="144"/>
      <c r="L14" s="144"/>
      <c r="M14" s="144"/>
      <c r="N14" s="144"/>
      <c r="O14" s="144"/>
    </row>
    <row r="15" spans="1:15">
      <c r="J15" s="144"/>
      <c r="K15" s="144"/>
      <c r="L15" s="144"/>
      <c r="M15" s="144"/>
      <c r="N15" s="144"/>
      <c r="O15" s="144"/>
    </row>
    <row r="16" spans="1:15">
      <c r="A16" s="135" t="s">
        <v>102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9"/>
      <c r="L16" s="19"/>
      <c r="M16" s="19"/>
      <c r="N16" s="19"/>
      <c r="O16" s="19"/>
    </row>
    <row r="17" spans="1:17">
      <c r="A17" s="9" t="s">
        <v>24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7">
      <c r="A18" s="19" t="s">
        <v>103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7">
      <c r="A19" s="19" t="s">
        <v>107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7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9"/>
      <c r="L20" s="19"/>
      <c r="M20" s="19"/>
      <c r="N20" s="19"/>
      <c r="O20" s="19"/>
    </row>
    <row r="21" spans="1:17">
      <c r="A21" s="19" t="s">
        <v>73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7">
      <c r="A22" s="19" t="s">
        <v>27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7" ht="17" thickBo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7" ht="29">
      <c r="A24" s="20"/>
      <c r="B24" s="21"/>
      <c r="C24" s="22" t="s">
        <v>74</v>
      </c>
      <c r="D24" s="22" t="s">
        <v>30</v>
      </c>
      <c r="E24" s="22" t="s">
        <v>31</v>
      </c>
      <c r="F24" s="22" t="s">
        <v>32</v>
      </c>
      <c r="G24" s="22" t="s">
        <v>33</v>
      </c>
      <c r="H24" s="22" t="s">
        <v>34</v>
      </c>
      <c r="I24" s="22" t="s">
        <v>35</v>
      </c>
      <c r="J24" s="23" t="s">
        <v>36</v>
      </c>
    </row>
    <row r="25" spans="1:17" ht="153">
      <c r="A25" s="24" t="s">
        <v>37</v>
      </c>
      <c r="B25" s="12"/>
      <c r="C25" s="12"/>
      <c r="D25" s="138" t="s">
        <v>108</v>
      </c>
      <c r="E25" s="139"/>
      <c r="F25" s="77" t="s">
        <v>93</v>
      </c>
      <c r="G25" s="12"/>
      <c r="H25" s="12"/>
      <c r="I25" s="12"/>
      <c r="J25" s="25"/>
      <c r="K25" s="112" t="s">
        <v>86</v>
      </c>
      <c r="L25" s="113" t="s">
        <v>84</v>
      </c>
      <c r="M25" s="113" t="s">
        <v>85</v>
      </c>
      <c r="N25" s="113" t="s">
        <v>91</v>
      </c>
      <c r="O25" s="113" t="s">
        <v>90</v>
      </c>
      <c r="P25" s="113" t="s">
        <v>119</v>
      </c>
      <c r="Q25" s="114" t="s">
        <v>120</v>
      </c>
    </row>
    <row r="26" spans="1:17" ht="34">
      <c r="A26" s="80" t="s">
        <v>104</v>
      </c>
      <c r="B26" s="27"/>
      <c r="C26" s="29">
        <v>1</v>
      </c>
      <c r="D26" s="18">
        <f>MROUND(M26,2)+8</f>
        <v>8</v>
      </c>
      <c r="E26">
        <f>D26*2</f>
        <v>16</v>
      </c>
      <c r="F26">
        <f>($N$3/365*0.25*$L$3+$N$3/365*0.15*$L$3+$N$3*$J$3+$N$3*$H$3)+200</f>
        <v>200</v>
      </c>
      <c r="G26" s="30"/>
      <c r="H26" s="30">
        <f t="shared" ref="H26" si="2">C26*D26</f>
        <v>8</v>
      </c>
      <c r="I26" s="30">
        <f t="shared" ref="I26" si="3">C26*E26</f>
        <v>16</v>
      </c>
      <c r="J26" s="31">
        <f t="shared" ref="J26" si="4">C26*F26</f>
        <v>200</v>
      </c>
      <c r="K26" s="115" t="s">
        <v>87</v>
      </c>
      <c r="L26" s="116">
        <f>L3</f>
        <v>0</v>
      </c>
      <c r="M26" s="117">
        <f>ROUNDUP(L26/250,0)</f>
        <v>0</v>
      </c>
      <c r="N26" s="117">
        <f>H3+J3</f>
        <v>0</v>
      </c>
      <c r="O26" s="118">
        <f>ROUNDUP(N26/24*4,0)</f>
        <v>0</v>
      </c>
      <c r="P26" s="118">
        <v>2</v>
      </c>
      <c r="Q26" s="119">
        <f>M26+O26</f>
        <v>0</v>
      </c>
    </row>
    <row r="27" spans="1:17" ht="29">
      <c r="A27" s="32" t="s">
        <v>40</v>
      </c>
      <c r="B27" s="27"/>
      <c r="C27" s="28">
        <f>ROUNDUP(M27/D27,0)</f>
        <v>0</v>
      </c>
      <c r="D27" s="78">
        <v>2</v>
      </c>
      <c r="E27" s="78">
        <v>4</v>
      </c>
      <c r="F27" s="29">
        <v>50</v>
      </c>
      <c r="G27" s="18"/>
      <c r="H27" s="30">
        <f>C27*D27</f>
        <v>0</v>
      </c>
      <c r="I27" s="30">
        <f>C27*E27</f>
        <v>0</v>
      </c>
      <c r="J27" s="31">
        <f>C27*F27</f>
        <v>0</v>
      </c>
      <c r="K27" s="120" t="s">
        <v>41</v>
      </c>
      <c r="L27" s="116">
        <f>F12*3+G12+H12</f>
        <v>0</v>
      </c>
      <c r="M27" s="117">
        <f>ROUNDUP(L27/100,0)</f>
        <v>0</v>
      </c>
      <c r="N27" s="121"/>
      <c r="O27" s="118"/>
      <c r="P27" s="118"/>
      <c r="Q27" s="119">
        <f>M27</f>
        <v>0</v>
      </c>
    </row>
    <row r="28" spans="1:17" ht="17">
      <c r="A28" s="74" t="s">
        <v>106</v>
      </c>
      <c r="B28" s="27"/>
      <c r="C28" s="29">
        <f>IF(D28&gt;0,1,0)</f>
        <v>0</v>
      </c>
      <c r="D28">
        <f>MROUND(M28,2)</f>
        <v>0</v>
      </c>
      <c r="E28" s="12">
        <f>D28*2</f>
        <v>0</v>
      </c>
      <c r="F28" s="29">
        <v>50</v>
      </c>
      <c r="G28" s="30"/>
      <c r="H28" s="30">
        <f>C28*D28</f>
        <v>0</v>
      </c>
      <c r="I28" s="30">
        <f>C28*E28</f>
        <v>0</v>
      </c>
      <c r="J28" s="31">
        <f>C28*F28</f>
        <v>0</v>
      </c>
      <c r="K28" s="115" t="s">
        <v>105</v>
      </c>
      <c r="L28" s="116">
        <f>D3</f>
        <v>0</v>
      </c>
      <c r="M28" s="117">
        <f>ROUNDUP(L28*2,0)</f>
        <v>0</v>
      </c>
      <c r="N28" s="118"/>
      <c r="O28" s="118"/>
      <c r="P28" s="118"/>
      <c r="Q28" s="119">
        <f>M28</f>
        <v>0</v>
      </c>
    </row>
    <row r="29" spans="1:17" ht="155">
      <c r="A29" s="33" t="s">
        <v>49</v>
      </c>
      <c r="B29" s="34"/>
      <c r="C29" s="28">
        <f>ROUNDUP(Q29/(D29-2),0)</f>
        <v>0</v>
      </c>
      <c r="D29" s="76">
        <v>4</v>
      </c>
      <c r="E29" s="76">
        <v>8</v>
      </c>
      <c r="F29" s="29">
        <v>100</v>
      </c>
      <c r="G29" s="35"/>
      <c r="H29" s="35">
        <f>C29*D29</f>
        <v>0</v>
      </c>
      <c r="I29" s="35">
        <f>C29*E29</f>
        <v>0</v>
      </c>
      <c r="J29" s="36">
        <f>C29*F29</f>
        <v>0</v>
      </c>
      <c r="K29" s="120" t="s">
        <v>92</v>
      </c>
      <c r="L29" s="122">
        <f>J12</f>
        <v>0</v>
      </c>
      <c r="M29" s="117">
        <f>L29*2</f>
        <v>0</v>
      </c>
      <c r="N29" s="117">
        <f>H3</f>
        <v>0</v>
      </c>
      <c r="O29" s="118">
        <f>ROUNDUP(N29/24*4,0)</f>
        <v>0</v>
      </c>
      <c r="P29" s="118">
        <v>0</v>
      </c>
      <c r="Q29" s="119">
        <f>M29+O29</f>
        <v>0</v>
      </c>
    </row>
    <row r="30" spans="1:17" ht="35" thickBot="1">
      <c r="A30" s="38" t="s">
        <v>48</v>
      </c>
      <c r="B30" s="39"/>
      <c r="C30" s="41">
        <v>1</v>
      </c>
      <c r="D30" s="47">
        <f>MROUND(M30,2)</f>
        <v>0</v>
      </c>
      <c r="E30" s="39">
        <f>D30*2</f>
        <v>0</v>
      </c>
      <c r="F30" s="41">
        <v>50</v>
      </c>
      <c r="G30" s="42">
        <f>3*L30</f>
        <v>0</v>
      </c>
      <c r="H30" s="42">
        <f>C30*D30</f>
        <v>0</v>
      </c>
      <c r="I30" s="42">
        <f>C30*E30</f>
        <v>0</v>
      </c>
      <c r="J30" s="43">
        <f>C30*F30</f>
        <v>50</v>
      </c>
      <c r="K30" s="123" t="s">
        <v>87</v>
      </c>
      <c r="L30" s="124">
        <f>F3</f>
        <v>0</v>
      </c>
      <c r="M30" s="125">
        <f>ROUNDUP(L30/250,0)</f>
        <v>0</v>
      </c>
      <c r="N30" s="126"/>
      <c r="O30" s="126"/>
      <c r="P30" s="126"/>
      <c r="Q30" s="127">
        <f>M30</f>
        <v>0</v>
      </c>
    </row>
    <row r="31" spans="1:17" ht="17" thickBot="1">
      <c r="B31" s="71" t="s">
        <v>69</v>
      </c>
      <c r="C31" s="73">
        <f>SUM(C26:C30)</f>
        <v>2</v>
      </c>
      <c r="D31" s="72"/>
      <c r="E31" s="72"/>
      <c r="F31" s="72"/>
      <c r="G31" s="60"/>
      <c r="H31" s="61">
        <f>SUM(H26:H30)</f>
        <v>8</v>
      </c>
      <c r="I31" s="61">
        <f t="shared" ref="I31:J31" si="5">SUM(I26:I30)</f>
        <v>16</v>
      </c>
      <c r="J31" s="61">
        <f t="shared" si="5"/>
        <v>250</v>
      </c>
    </row>
  </sheetData>
  <mergeCells count="7">
    <mergeCell ref="D25:E25"/>
    <mergeCell ref="A1:C1"/>
    <mergeCell ref="A5:I5"/>
    <mergeCell ref="K6:K12"/>
    <mergeCell ref="J13:O15"/>
    <mergeCell ref="A16:J16"/>
    <mergeCell ref="A20:J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56CB2-C7FD-5245-892E-53D6B15CC110}">
  <dimension ref="A1:O29"/>
  <sheetViews>
    <sheetView tabSelected="1" topLeftCell="A15" zoomScale="75" workbookViewId="0">
      <selection activeCell="I28" sqref="I28"/>
    </sheetView>
  </sheetViews>
  <sheetFormatPr baseColWidth="10" defaultRowHeight="16"/>
  <cols>
    <col min="1" max="1" width="16" customWidth="1"/>
    <col min="2" max="2" width="17.5" customWidth="1"/>
    <col min="3" max="3" width="24.83203125" customWidth="1"/>
    <col min="4" max="4" width="20.6640625" customWidth="1"/>
    <col min="5" max="5" width="22.1640625" customWidth="1"/>
    <col min="6" max="6" width="22.6640625" customWidth="1"/>
    <col min="7" max="7" width="19.5" customWidth="1"/>
    <col min="8" max="8" width="18.33203125" customWidth="1"/>
    <col min="9" max="9" width="27.5" customWidth="1"/>
    <col min="11" max="11" width="17.1640625" customWidth="1"/>
    <col min="12" max="12" width="19" customWidth="1"/>
    <col min="13" max="13" width="17.83203125" customWidth="1"/>
    <col min="15" max="15" width="15.5" customWidth="1"/>
  </cols>
  <sheetData>
    <row r="1" spans="1:15">
      <c r="A1" s="140" t="s">
        <v>0</v>
      </c>
      <c r="B1" s="141"/>
      <c r="C1" s="141"/>
    </row>
    <row r="3" spans="1:15" ht="168" customHeight="1">
      <c r="A3" s="3" t="s">
        <v>1</v>
      </c>
      <c r="B3" s="4">
        <v>0</v>
      </c>
      <c r="C3" s="79" t="s">
        <v>97</v>
      </c>
      <c r="D3" s="5">
        <v>0</v>
      </c>
      <c r="E3" s="6" t="s">
        <v>2</v>
      </c>
      <c r="F3" s="5">
        <v>0</v>
      </c>
      <c r="G3" s="2" t="s">
        <v>82</v>
      </c>
      <c r="H3" s="7">
        <v>0</v>
      </c>
      <c r="I3" s="8" t="s">
        <v>4</v>
      </c>
      <c r="J3" s="7">
        <v>0</v>
      </c>
      <c r="K3" s="75" t="s">
        <v>5</v>
      </c>
      <c r="L3" s="9">
        <v>0</v>
      </c>
      <c r="M3" s="75" t="s">
        <v>100</v>
      </c>
      <c r="N3" s="9">
        <v>0</v>
      </c>
    </row>
    <row r="5" spans="1:15">
      <c r="A5" s="142" t="s">
        <v>6</v>
      </c>
      <c r="B5" s="142"/>
      <c r="C5" s="142"/>
      <c r="D5" s="142"/>
      <c r="E5" s="142"/>
      <c r="F5" s="142"/>
      <c r="G5" s="142"/>
      <c r="H5" s="142"/>
      <c r="I5" s="142"/>
      <c r="J5" s="1"/>
      <c r="K5" s="2"/>
    </row>
    <row r="6" spans="1:15" ht="68">
      <c r="A6" s="10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1" t="s">
        <v>15</v>
      </c>
      <c r="J6" s="11" t="s">
        <v>16</v>
      </c>
      <c r="K6" s="143" t="s">
        <v>95</v>
      </c>
    </row>
    <row r="7" spans="1:15">
      <c r="A7" s="12" t="s">
        <v>17</v>
      </c>
      <c r="B7" s="13">
        <v>40</v>
      </c>
      <c r="C7" s="14">
        <f>$B$3*B7/100</f>
        <v>0</v>
      </c>
      <c r="D7" s="15">
        <v>2</v>
      </c>
      <c r="E7" s="15">
        <v>2</v>
      </c>
      <c r="F7" s="14">
        <f t="shared" ref="F7:F9" si="0">ROUNDUP(C7/D7*E7,0)</f>
        <v>0</v>
      </c>
      <c r="G7" s="15">
        <v>10</v>
      </c>
      <c r="H7" s="15">
        <v>60</v>
      </c>
      <c r="I7" s="14">
        <f>ROUNDUP(C7/D7,0)</f>
        <v>0</v>
      </c>
      <c r="J7" s="13">
        <v>1</v>
      </c>
      <c r="K7" s="143"/>
    </row>
    <row r="8" spans="1:15">
      <c r="A8" s="12" t="s">
        <v>18</v>
      </c>
      <c r="B8" s="13">
        <v>32</v>
      </c>
      <c r="C8" s="14">
        <f>$B$3*B8/100</f>
        <v>0</v>
      </c>
      <c r="D8" s="15">
        <v>4</v>
      </c>
      <c r="E8" s="15">
        <v>3</v>
      </c>
      <c r="F8" s="14">
        <f t="shared" si="0"/>
        <v>0</v>
      </c>
      <c r="G8" s="15">
        <v>10</v>
      </c>
      <c r="H8" s="15">
        <v>60</v>
      </c>
      <c r="I8" s="14">
        <f t="shared" ref="I8:I9" si="1">ROUNDUP(C8/D8,0)</f>
        <v>0</v>
      </c>
      <c r="J8" s="13">
        <v>2</v>
      </c>
      <c r="K8" s="143"/>
    </row>
    <row r="9" spans="1:15">
      <c r="A9" s="12" t="s">
        <v>19</v>
      </c>
      <c r="B9" s="13">
        <v>16</v>
      </c>
      <c r="C9" s="14">
        <f>$B$3*B9/100</f>
        <v>0</v>
      </c>
      <c r="D9" s="15">
        <v>8</v>
      </c>
      <c r="E9" s="15">
        <v>4</v>
      </c>
      <c r="F9" s="14">
        <f t="shared" si="0"/>
        <v>0</v>
      </c>
      <c r="G9" s="15">
        <v>10</v>
      </c>
      <c r="H9" s="15">
        <v>60</v>
      </c>
      <c r="I9" s="14">
        <f t="shared" si="1"/>
        <v>0</v>
      </c>
      <c r="J9" s="13">
        <v>3</v>
      </c>
      <c r="K9" s="143"/>
    </row>
    <row r="10" spans="1:15">
      <c r="A10" s="12" t="s">
        <v>20</v>
      </c>
      <c r="B10" s="13">
        <v>10</v>
      </c>
      <c r="C10" s="14">
        <f>$B$3*B10/100</f>
        <v>0</v>
      </c>
      <c r="D10" s="15">
        <v>20</v>
      </c>
      <c r="E10" s="15">
        <v>4</v>
      </c>
      <c r="F10" s="14">
        <f>ROUNDUP(C10/D10*E10,0)</f>
        <v>0</v>
      </c>
      <c r="G10" s="15">
        <v>10</v>
      </c>
      <c r="H10" s="15">
        <v>60</v>
      </c>
      <c r="I10" s="14">
        <f>ROUNDUP(C10/D10,0)</f>
        <v>0</v>
      </c>
      <c r="J10" s="13">
        <v>5</v>
      </c>
      <c r="K10" s="143"/>
    </row>
    <row r="11" spans="1:15">
      <c r="A11" s="12" t="s">
        <v>21</v>
      </c>
      <c r="B11" s="13">
        <v>2</v>
      </c>
      <c r="C11" s="14">
        <f>$B$3*B11/100</f>
        <v>0</v>
      </c>
      <c r="D11" s="15">
        <v>50</v>
      </c>
      <c r="E11" s="15">
        <v>3</v>
      </c>
      <c r="F11" s="14">
        <f>ROUNDUP(C11/D11*E11,0)</f>
        <v>0</v>
      </c>
      <c r="G11" s="15">
        <v>10</v>
      </c>
      <c r="H11" s="15">
        <v>70</v>
      </c>
      <c r="I11" s="14">
        <f>ROUNDUP(C11/D11,0)</f>
        <v>0</v>
      </c>
      <c r="J11" s="13">
        <v>7</v>
      </c>
      <c r="K11" s="143"/>
    </row>
    <row r="12" spans="1:15" ht="17">
      <c r="A12" s="11" t="s">
        <v>22</v>
      </c>
      <c r="B12" s="14">
        <f>SUM(B7:B11)</f>
        <v>100</v>
      </c>
      <c r="C12" s="14">
        <f>SUM(C7:C11)</f>
        <v>0</v>
      </c>
      <c r="D12" s="16"/>
      <c r="E12" s="16"/>
      <c r="F12" s="14">
        <f>SUM(F7:F11)</f>
        <v>0</v>
      </c>
      <c r="G12" s="14">
        <f>ROUNDUP(C7*G7/100+C8*G8/100+C9*G9/100+C10*G10/100+C11*G11/100,0)</f>
        <v>0</v>
      </c>
      <c r="H12" s="14">
        <f>ROUNDUP(C7*H7/100+C8*H8/100+C9*H9/100+C10*H10/100,0)</f>
        <v>0</v>
      </c>
      <c r="I12" s="14">
        <f>SUM(I7:I11)</f>
        <v>0</v>
      </c>
      <c r="J12" s="17">
        <f>ROUNDUP(I7*J7/100+I8*J8/100+I9*J9/100+I10*J10/100+I11*J11/100,0)</f>
        <v>0</v>
      </c>
      <c r="K12" s="143"/>
    </row>
    <row r="13" spans="1:15">
      <c r="A13" s="8"/>
      <c r="J13" s="144" t="s">
        <v>99</v>
      </c>
      <c r="K13" s="144"/>
      <c r="L13" s="144"/>
      <c r="M13" s="144"/>
      <c r="N13" s="144"/>
      <c r="O13" s="144"/>
    </row>
    <row r="14" spans="1:15">
      <c r="J14" s="144"/>
      <c r="K14" s="144"/>
      <c r="L14" s="144"/>
      <c r="M14" s="144"/>
      <c r="N14" s="144"/>
      <c r="O14" s="144"/>
    </row>
    <row r="15" spans="1:15">
      <c r="J15" s="144"/>
      <c r="K15" s="144"/>
      <c r="L15" s="144"/>
      <c r="M15" s="144"/>
      <c r="N15" s="144"/>
      <c r="O15" s="144"/>
    </row>
    <row r="16" spans="1:15">
      <c r="A16" s="135" t="s">
        <v>102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9"/>
      <c r="L16" s="19"/>
      <c r="M16" s="19"/>
      <c r="N16" s="19"/>
      <c r="O16" s="19"/>
    </row>
    <row r="17" spans="1:15">
      <c r="A17" s="9" t="s">
        <v>24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>
      <c r="A18" s="19" t="s">
        <v>103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>
      <c r="A19" s="135" t="s">
        <v>113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9"/>
      <c r="L19" s="19"/>
      <c r="M19" s="19"/>
      <c r="N19" s="19"/>
      <c r="O19" s="19"/>
    </row>
    <row r="20" spans="1:15" ht="17" thickBo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5" ht="29">
      <c r="A21" s="20"/>
      <c r="B21" s="21"/>
      <c r="C21" s="22" t="s">
        <v>74</v>
      </c>
      <c r="D21" s="22" t="s">
        <v>30</v>
      </c>
      <c r="E21" s="22" t="s">
        <v>31</v>
      </c>
      <c r="F21" s="22" t="s">
        <v>32</v>
      </c>
      <c r="G21" s="22" t="s">
        <v>33</v>
      </c>
      <c r="H21" s="22" t="s">
        <v>34</v>
      </c>
      <c r="I21" s="22" t="s">
        <v>35</v>
      </c>
      <c r="J21" s="23" t="s">
        <v>36</v>
      </c>
    </row>
    <row r="22" spans="1:15" ht="103" customHeight="1" thickBot="1">
      <c r="A22" s="81" t="s">
        <v>109</v>
      </c>
      <c r="B22" s="82"/>
      <c r="C22" s="41">
        <v>1</v>
      </c>
      <c r="D22" s="48">
        <f>MROUND(SUM(H25:H29),2)+8</f>
        <v>8</v>
      </c>
      <c r="E22" s="47">
        <f>D22*2</f>
        <v>16</v>
      </c>
      <c r="F22" s="47">
        <f>($N$3/365*0.25*$L$3+$N$3/365*0.15*$L$3+$N$3*$J$3+$N$3*$H$3)+200</f>
        <v>200</v>
      </c>
      <c r="G22" s="42"/>
      <c r="H22" s="83">
        <f t="shared" ref="H22" si="2">C22*D22</f>
        <v>8</v>
      </c>
      <c r="I22" s="83">
        <f t="shared" ref="I22" si="3">C22*E22</f>
        <v>16</v>
      </c>
      <c r="J22" s="84">
        <f t="shared" ref="J22" si="4">C22*F22</f>
        <v>200</v>
      </c>
    </row>
    <row r="24" spans="1:15" ht="102">
      <c r="A24" s="129"/>
      <c r="B24" s="113" t="s">
        <v>86</v>
      </c>
      <c r="C24" s="113" t="s">
        <v>84</v>
      </c>
      <c r="D24" s="113" t="s">
        <v>85</v>
      </c>
      <c r="E24" s="113" t="s">
        <v>91</v>
      </c>
      <c r="F24" s="113" t="s">
        <v>90</v>
      </c>
      <c r="G24" s="113" t="s">
        <v>119</v>
      </c>
      <c r="H24" s="114" t="s">
        <v>120</v>
      </c>
    </row>
    <row r="25" spans="1:15" ht="34">
      <c r="A25" s="130" t="s">
        <v>110</v>
      </c>
      <c r="B25" s="131" t="s">
        <v>87</v>
      </c>
      <c r="C25" s="116">
        <f>L3</f>
        <v>0</v>
      </c>
      <c r="D25" s="117">
        <f>ROUNDUP(C25/250,0)</f>
        <v>0</v>
      </c>
      <c r="E25" s="118"/>
      <c r="F25" s="118"/>
      <c r="G25" s="128">
        <v>0</v>
      </c>
      <c r="H25" s="119">
        <f>D25+G25</f>
        <v>0</v>
      </c>
    </row>
    <row r="26" spans="1:15" ht="29">
      <c r="A26" s="130" t="s">
        <v>111</v>
      </c>
      <c r="B26" s="132" t="s">
        <v>41</v>
      </c>
      <c r="C26" s="116">
        <f>F12*3+G12+H12</f>
        <v>0</v>
      </c>
      <c r="D26" s="117">
        <f>ROUNDUP(C26/100,0)</f>
        <v>0</v>
      </c>
      <c r="E26" s="121"/>
      <c r="F26" s="118"/>
      <c r="G26" s="118"/>
      <c r="H26" s="119">
        <f>D26</f>
        <v>0</v>
      </c>
    </row>
    <row r="27" spans="1:15" ht="17">
      <c r="A27" s="130" t="s">
        <v>106</v>
      </c>
      <c r="B27" s="131" t="s">
        <v>105</v>
      </c>
      <c r="C27" s="116">
        <f>D3</f>
        <v>0</v>
      </c>
      <c r="D27" s="117">
        <f>ROUNDUP(C27*2,0)</f>
        <v>0</v>
      </c>
      <c r="E27" s="118"/>
      <c r="F27" s="118"/>
      <c r="G27" s="118"/>
      <c r="H27" s="119">
        <f>D27</f>
        <v>0</v>
      </c>
    </row>
    <row r="28" spans="1:15" ht="155">
      <c r="A28" s="130" t="s">
        <v>112</v>
      </c>
      <c r="B28" s="132" t="s">
        <v>92</v>
      </c>
      <c r="C28" s="122">
        <f>J12</f>
        <v>0</v>
      </c>
      <c r="D28" s="117">
        <f>C28*2</f>
        <v>0</v>
      </c>
      <c r="E28" s="117">
        <f>H3</f>
        <v>0</v>
      </c>
      <c r="F28" s="118">
        <f>ROUNDUP(E28/24*4,0)</f>
        <v>0</v>
      </c>
      <c r="G28" s="118">
        <v>0</v>
      </c>
      <c r="H28" s="119">
        <f>D28+F28+G28</f>
        <v>0</v>
      </c>
    </row>
    <row r="29" spans="1:15" ht="34">
      <c r="A29" s="133" t="s">
        <v>48</v>
      </c>
      <c r="B29" s="134" t="s">
        <v>87</v>
      </c>
      <c r="C29" s="124">
        <f>F3</f>
        <v>0</v>
      </c>
      <c r="D29" s="125">
        <f>ROUNDUP(C29/250,0)</f>
        <v>0</v>
      </c>
      <c r="E29" s="126"/>
      <c r="F29" s="126"/>
      <c r="G29" s="126"/>
      <c r="H29" s="127">
        <f>D29</f>
        <v>0</v>
      </c>
    </row>
  </sheetData>
  <mergeCells count="6">
    <mergeCell ref="A19:J19"/>
    <mergeCell ref="A1:C1"/>
    <mergeCell ref="A5:I5"/>
    <mergeCell ref="K6:K12"/>
    <mergeCell ref="J13:O15"/>
    <mergeCell ref="A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Enterprise HA</vt:lpstr>
      <vt:lpstr>Standard HA</vt:lpstr>
      <vt:lpstr>Basic</vt:lpstr>
      <vt:lpstr>All in 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revision>3</cp:revision>
  <dcterms:created xsi:type="dcterms:W3CDTF">2024-05-23T13:01:03Z</dcterms:created>
  <dcterms:modified xsi:type="dcterms:W3CDTF">2024-10-29T09:58:11Z</dcterms:modified>
</cp:coreProperties>
</file>